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MLC_Run" defaultThemeVersion="124226"/>
  <mc:AlternateContent xmlns:mc="http://schemas.openxmlformats.org/markup-compatibility/2006">
    <mc:Choice Requires="x15">
      <x15ac:absPath xmlns:x15ac="http://schemas.microsoft.com/office/spreadsheetml/2010/11/ac" url="D:\_Fimovi\Webseite GER\Blogbeiträge\60 -Vermietung Steuern\Excel\"/>
    </mc:Choice>
  </mc:AlternateContent>
  <xr:revisionPtr revIDLastSave="0" documentId="13_ncr:1_{F8C515EF-5812-4205-8CCF-EF64742CEE68}" xr6:coauthVersionLast="47" xr6:coauthVersionMax="47" xr10:uidLastSave="{00000000-0000-0000-0000-000000000000}"/>
  <workbookProtection workbookAlgorithmName="SHA-512" workbookHashValue="Yd5zS/22+2SdnH+0u9STzwP8WQEOIqGm82BG3q5pIA5vK1rywmHF3Q4aMWq8PyLhhBzNLUkcrcqYxbhhqrGBXA==" workbookSaltValue="FYidc3ByTV2nXXAC/S886A==" workbookSpinCount="100000" lockStructure="1"/>
  <bookViews>
    <workbookView xWindow="-120" yWindow="-120" windowWidth="51840" windowHeight="21240" tabRatio="754" activeTab="1" xr2:uid="{00000000-000D-0000-FFFF-FFFF00000000}"/>
  </bookViews>
  <sheets>
    <sheet name="Hinweis" sheetId="42" r:id="rId1"/>
    <sheet name="Annahmen" sheetId="1" r:id="rId2"/>
    <sheet name="Berechnungen" sheetId="30" r:id="rId3"/>
    <sheet name="Ergebnisse" sheetId="40" r:id="rId4"/>
    <sheet name="EFT Immobilien" sheetId="41" r:id="rId5"/>
    <sheet name="AFA-Rechner" sheetId="43" r:id="rId6"/>
    <sheet name="Formate" sheetId="13" state="hidden" r:id="rId7"/>
  </sheets>
  <externalReferences>
    <externalReference r:id="rId8"/>
  </externalReferences>
  <definedNames>
    <definedName name="Blatt_AfA_Steuern">Berechnungen!$A$1</definedName>
    <definedName name="Blatt_Annahmen">Annahmen!$A$1</definedName>
    <definedName name="Blatt_Formate">Formate!$A$1</definedName>
    <definedName name="currency">Annahmen!$F$11</definedName>
    <definedName name="Darl_Art">Formate!$J$94:$J$96</definedName>
    <definedName name="_xlnm.Print_Area" localSheetId="1">Annahmen!$A$1:$U$52</definedName>
    <definedName name="_xlnm.Print_Area" localSheetId="0">Hinweis!$B$2:$M$61</definedName>
    <definedName name="_xlnm.Print_Titles" localSheetId="1">Annahmen!$C:$D</definedName>
    <definedName name="GanzkleineZahl">Formate!$D$77</definedName>
    <definedName name="Grdstuecksart">Formate!$B$100:$B$134</definedName>
    <definedName name="Milliarde">Formate!$D$76</definedName>
    <definedName name="Million">Formate!$D$75</definedName>
    <definedName name="Monate">Formate!$J$69:$J$80</definedName>
    <definedName name="Monate_Jahr">Formate!$D$69</definedName>
    <definedName name="Monate_Quartal">Formate!$D$71</definedName>
    <definedName name="Name_Autor">Annahmen!$F$8</definedName>
    <definedName name="Name_Datei">Annahmen!$F$6</definedName>
    <definedName name="Name_Projekt">Annahmen!$F$5</definedName>
    <definedName name="Periodizitaet">Formate!$J$83:$J$86</definedName>
    <definedName name="Pf_hor_ja">Formate!$D$86</definedName>
    <definedName name="Pf_hor_nein">Formate!$D$87</definedName>
    <definedName name="Pf_li">Formate!$D$84</definedName>
    <definedName name="Pf_re">Formate!$D$85</definedName>
    <definedName name="Pf_unt_ja">Formate!$D$82</definedName>
    <definedName name="Pf_unt_nein">Formate!$D$83</definedName>
    <definedName name="Priv" hidden="1">[1]Inputs!$G$24</definedName>
    <definedName name="Quartale_Jahr">Formate!$D$70</definedName>
    <definedName name="Rückzahlungsmethode">Formate!$D$94:$D$98</definedName>
    <definedName name="Rund_Tol">Formate!$D$73</definedName>
    <definedName name="Sonder_AfA_an">Annahmen!$F$48</definedName>
    <definedName name="status">Formate!$J$89:$J$90</definedName>
    <definedName name="Tage_Jahr">Formate!$D$68</definedName>
    <definedName name="Tausend">Formate!$D$74</definedName>
    <definedName name="Z_467270F0_7CE1_4C79_8222_3E2937E865F0_.wvu.Cols" localSheetId="1" hidden="1">Annahmen!$AT:$XFD</definedName>
    <definedName name="Z_467270F0_7CE1_4C79_8222_3E2937E865F0_.wvu.Cols" localSheetId="6" hidden="1">Formate!$M:$XFD</definedName>
    <definedName name="Z_983CA25C_E536_444F_9D93_83C18FA7D181_.wvu.Cols" localSheetId="1" hidden="1">Annahmen!$AT:$XFD</definedName>
    <definedName name="Z_983CA25C_E536_444F_9D93_83C18FA7D181_.wvu.Cols" localSheetId="6" hidden="1">Formate!$M:$XFD</definedName>
    <definedName name="Z_C9A92CC2_07B1_4F3F_B8DB_13370D8D1DE6_.wvu.Cols" localSheetId="1" hidden="1">Annahmen!$AT:$XFD</definedName>
    <definedName name="Z_C9A92CC2_07B1_4F3F_B8DB_13370D8D1DE6_.wvu.Cols" localSheetId="6" hidden="1">Formate!$M:$XFD</definedName>
  </definedNames>
  <calcPr calcId="191029"/>
  <customWorkbookViews>
    <customWorkbookView name="Portfolio Details Parking" guid="{467270F0-7CE1-4C79-8222-3E2937E865F0}" includePrintSettings="0" maximized="1" xWindow="-4" yWindow="-4" windowWidth="1928" windowHeight="1044" tabRatio="573" activeSheetId="22"/>
    <customWorkbookView name="Portfolio Details Commercial" guid="{983CA25C-E536-444F-9D93-83C18FA7D181}" includePrintSettings="0" maximized="1" xWindow="-4" yWindow="-4" windowWidth="1928" windowHeight="1044" tabRatio="573" activeSheetId="22"/>
    <customWorkbookView name="Portfolio Details Residential" guid="{C9A92CC2-07B1-4F3F-B8DB-13370D8D1DE6}" includePrintSettings="0" maximized="1" xWindow="-4" yWindow="-4" windowWidth="1928" windowHeight="1044" tabRatio="573" activeSheetId="2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 i="1" l="1"/>
  <c r="E51" i="1"/>
  <c r="E50" i="1"/>
  <c r="F24" i="40"/>
  <c r="E24" i="40"/>
  <c r="F44" i="1" l="1"/>
  <c r="G45" i="1" s="1"/>
  <c r="E8" i="30"/>
  <c r="K35" i="1" l="1"/>
  <c r="I35" i="1"/>
  <c r="J35" i="1"/>
  <c r="E54" i="30" s="1"/>
  <c r="H54" i="30" s="1"/>
  <c r="H58" i="30" s="1"/>
  <c r="B1" i="30" l="1"/>
  <c r="B1" i="40"/>
  <c r="J27" i="40"/>
  <c r="K27" i="40" s="1"/>
  <c r="L27" i="40" s="1"/>
  <c r="M27" i="40" s="1"/>
  <c r="N27" i="40" s="1"/>
  <c r="O27" i="40" s="1"/>
  <c r="P27" i="40" s="1"/>
  <c r="Q27" i="40" s="1"/>
  <c r="R27" i="40" s="1"/>
  <c r="F6" i="1"/>
  <c r="C1" i="1"/>
  <c r="D32" i="40"/>
  <c r="H31" i="40"/>
  <c r="H33" i="40" s="1"/>
  <c r="D31" i="40"/>
  <c r="D30" i="40"/>
  <c r="D29" i="40"/>
  <c r="I24" i="40"/>
  <c r="D24" i="40"/>
  <c r="D20" i="40"/>
  <c r="D19" i="40"/>
  <c r="D18" i="40"/>
  <c r="D16" i="40"/>
  <c r="E15" i="40"/>
  <c r="D15" i="40"/>
  <c r="E12" i="40"/>
  <c r="D12" i="40"/>
  <c r="D10" i="40"/>
  <c r="D9" i="40"/>
  <c r="D8" i="40"/>
  <c r="D7" i="40"/>
  <c r="D5" i="40"/>
  <c r="J3" i="40"/>
  <c r="K3" i="40" s="1"/>
  <c r="L3" i="40" s="1"/>
  <c r="M3" i="40" s="1"/>
  <c r="N3" i="40" s="1"/>
  <c r="O3" i="40" s="1"/>
  <c r="P3" i="40" s="1"/>
  <c r="Q3" i="40" s="1"/>
  <c r="R3" i="40" s="1"/>
  <c r="E16" i="1"/>
  <c r="C49" i="30"/>
  <c r="C38" i="30"/>
  <c r="K29" i="30"/>
  <c r="J29" i="30"/>
  <c r="I29" i="30"/>
  <c r="H29" i="30"/>
  <c r="E16" i="30"/>
  <c r="E43" i="30"/>
  <c r="E55" i="30"/>
  <c r="E51" i="30"/>
  <c r="H35" i="1"/>
  <c r="H40" i="30"/>
  <c r="J21" i="1"/>
  <c r="Q16" i="40" s="1"/>
  <c r="Q7" i="40" s="1"/>
  <c r="E21" i="1"/>
  <c r="G52" i="30"/>
  <c r="H49" i="30"/>
  <c r="D58" i="30"/>
  <c r="D55" i="30"/>
  <c r="D52" i="30"/>
  <c r="D51" i="30"/>
  <c r="D50" i="30"/>
  <c r="I48" i="30"/>
  <c r="D44" i="30"/>
  <c r="G41" i="30"/>
  <c r="H39" i="30" s="1"/>
  <c r="H38" i="30"/>
  <c r="H28" i="30"/>
  <c r="I28" i="30" s="1"/>
  <c r="D43" i="30"/>
  <c r="D41" i="30"/>
  <c r="D40" i="30"/>
  <c r="D39" i="30"/>
  <c r="I37" i="30"/>
  <c r="J37" i="30" s="1"/>
  <c r="K37" i="30" s="1"/>
  <c r="K40" i="30" s="1"/>
  <c r="E19" i="1"/>
  <c r="F37" i="1"/>
  <c r="H37" i="1" s="1"/>
  <c r="I37" i="1" s="1"/>
  <c r="E27" i="1"/>
  <c r="E33" i="1"/>
  <c r="I19" i="1"/>
  <c r="E29" i="1"/>
  <c r="F53" i="1"/>
  <c r="H50" i="1" s="1"/>
  <c r="I50" i="1" s="1"/>
  <c r="F55" i="1"/>
  <c r="E17" i="1"/>
  <c r="E15" i="1"/>
  <c r="Q24" i="40" l="1"/>
  <c r="J24" i="40"/>
  <c r="K24" i="40"/>
  <c r="L24" i="40"/>
  <c r="M24" i="40"/>
  <c r="R24" i="40"/>
  <c r="R29" i="40" s="1"/>
  <c r="N24" i="40"/>
  <c r="P24" i="40"/>
  <c r="O24" i="40"/>
  <c r="J54" i="1"/>
  <c r="H54" i="1"/>
  <c r="J48" i="30"/>
  <c r="I54" i="30"/>
  <c r="J19" i="1"/>
  <c r="I15" i="40" s="1"/>
  <c r="R16" i="40"/>
  <c r="R7" i="40" s="1"/>
  <c r="I16" i="40"/>
  <c r="I7" i="40" s="1"/>
  <c r="J16" i="40"/>
  <c r="J7" i="40" s="1"/>
  <c r="K16" i="40"/>
  <c r="K7" i="40" s="1"/>
  <c r="L16" i="40"/>
  <c r="L7" i="40" s="1"/>
  <c r="M16" i="40"/>
  <c r="M7" i="40" s="1"/>
  <c r="N16" i="40"/>
  <c r="N7" i="40" s="1"/>
  <c r="O16" i="40"/>
  <c r="O7" i="40" s="1"/>
  <c r="P16" i="40"/>
  <c r="P7" i="40" s="1"/>
  <c r="H55" i="30"/>
  <c r="H56" i="30" s="1"/>
  <c r="H50" i="30"/>
  <c r="I40" i="30"/>
  <c r="J40" i="30"/>
  <c r="I21" i="1"/>
  <c r="L37" i="30"/>
  <c r="I38" i="30"/>
  <c r="J38" i="30" s="1"/>
  <c r="K38" i="30" s="1"/>
  <c r="H43" i="30"/>
  <c r="J28" i="30"/>
  <c r="K28" i="30" s="1"/>
  <c r="F25" i="30"/>
  <c r="H32" i="30"/>
  <c r="E55" i="1"/>
  <c r="I54" i="1"/>
  <c r="E54" i="1"/>
  <c r="D17" i="30"/>
  <c r="D16" i="30"/>
  <c r="N26" i="30"/>
  <c r="N25" i="30"/>
  <c r="D10" i="30"/>
  <c r="D9" i="30"/>
  <c r="D8" i="30"/>
  <c r="D11" i="30"/>
  <c r="D7" i="30"/>
  <c r="G19" i="30"/>
  <c r="D18" i="30"/>
  <c r="D21" i="30"/>
  <c r="D22" i="30"/>
  <c r="D15" i="30"/>
  <c r="I5" i="30"/>
  <c r="M31" i="30"/>
  <c r="K32" i="30"/>
  <c r="I32" i="30" l="1"/>
  <c r="K25" i="30" s="1"/>
  <c r="K26" i="30" s="1"/>
  <c r="I58" i="30"/>
  <c r="H51" i="30"/>
  <c r="I19" i="40" s="1"/>
  <c r="I18" i="40"/>
  <c r="K48" i="30"/>
  <c r="J54" i="30"/>
  <c r="J58" i="30" s="1"/>
  <c r="J15" i="40"/>
  <c r="K15" i="40" s="1"/>
  <c r="L15" i="40" s="1"/>
  <c r="I5" i="40"/>
  <c r="H44" i="30"/>
  <c r="J5" i="30"/>
  <c r="M37" i="30"/>
  <c r="M40" i="30" s="1"/>
  <c r="L40" i="30"/>
  <c r="L38" i="30"/>
  <c r="H41" i="30"/>
  <c r="H18" i="30"/>
  <c r="L32" i="30"/>
  <c r="K5" i="40" l="1"/>
  <c r="J5" i="40"/>
  <c r="N37" i="30"/>
  <c r="N40" i="30" s="1"/>
  <c r="M38" i="30"/>
  <c r="K54" i="30"/>
  <c r="K58" i="30" s="1"/>
  <c r="L48" i="30"/>
  <c r="I9" i="40"/>
  <c r="I20" i="40"/>
  <c r="L5" i="40"/>
  <c r="M15" i="40"/>
  <c r="K5" i="30"/>
  <c r="I49" i="30"/>
  <c r="O37" i="30"/>
  <c r="O40" i="30" s="1"/>
  <c r="N38" i="30"/>
  <c r="I43" i="30"/>
  <c r="I39" i="30"/>
  <c r="L54" i="30" l="1"/>
  <c r="L58" i="30" s="1"/>
  <c r="M48" i="30"/>
  <c r="N15" i="40"/>
  <c r="M5" i="40"/>
  <c r="I44" i="30"/>
  <c r="L5" i="30"/>
  <c r="J49" i="30"/>
  <c r="P37" i="30"/>
  <c r="P40" i="30" s="1"/>
  <c r="O38" i="30"/>
  <c r="M54" i="30" l="1"/>
  <c r="M58" i="30" s="1"/>
  <c r="N48" i="30"/>
  <c r="N5" i="40"/>
  <c r="O15" i="40"/>
  <c r="M5" i="30"/>
  <c r="L16" i="30"/>
  <c r="H52" i="30"/>
  <c r="K49" i="30"/>
  <c r="Q37" i="30"/>
  <c r="Q40" i="30" s="1"/>
  <c r="P38" i="30"/>
  <c r="N54" i="30" l="1"/>
  <c r="N58" i="30" s="1"/>
  <c r="O48" i="30"/>
  <c r="O5" i="40"/>
  <c r="P15" i="40"/>
  <c r="N5" i="30"/>
  <c r="M16" i="30"/>
  <c r="I50" i="30"/>
  <c r="I55" i="30"/>
  <c r="L49" i="30"/>
  <c r="R37" i="30"/>
  <c r="R40" i="30" s="1"/>
  <c r="Q38" i="30"/>
  <c r="I41" i="30"/>
  <c r="O54" i="30" l="1"/>
  <c r="O58" i="30" s="1"/>
  <c r="P48" i="30"/>
  <c r="J18" i="40"/>
  <c r="J9" i="40" s="1"/>
  <c r="I56" i="30"/>
  <c r="P5" i="40"/>
  <c r="Q15" i="40"/>
  <c r="O5" i="30"/>
  <c r="N16" i="30"/>
  <c r="N8" i="30" s="1"/>
  <c r="M49" i="30"/>
  <c r="R38" i="30"/>
  <c r="S37" i="30"/>
  <c r="S40" i="30" s="1"/>
  <c r="J43" i="30"/>
  <c r="J39" i="30"/>
  <c r="I51" i="30" l="1"/>
  <c r="P54" i="30"/>
  <c r="P58" i="30" s="1"/>
  <c r="Q48" i="30"/>
  <c r="R15" i="40"/>
  <c r="Q5" i="40"/>
  <c r="J44" i="30"/>
  <c r="P5" i="30"/>
  <c r="O16" i="30"/>
  <c r="O8" i="30" s="1"/>
  <c r="N49" i="30"/>
  <c r="S38" i="30"/>
  <c r="T37" i="30"/>
  <c r="T40" i="30" s="1"/>
  <c r="J19" i="40" l="1"/>
  <c r="J20" i="40" s="1"/>
  <c r="I52" i="30"/>
  <c r="Q54" i="30"/>
  <c r="Q58" i="30" s="1"/>
  <c r="R48" i="30"/>
  <c r="R5" i="40"/>
  <c r="Q5" i="30"/>
  <c r="P16" i="30"/>
  <c r="P8" i="30" s="1"/>
  <c r="O49" i="30"/>
  <c r="T38" i="30"/>
  <c r="U37" i="30"/>
  <c r="U40" i="30" s="1"/>
  <c r="J55" i="30" l="1"/>
  <c r="J50" i="30"/>
  <c r="R54" i="30"/>
  <c r="R58" i="30" s="1"/>
  <c r="S48" i="30"/>
  <c r="R49" i="30"/>
  <c r="R5" i="30"/>
  <c r="Q16" i="30"/>
  <c r="Q8" i="30" s="1"/>
  <c r="P49" i="30"/>
  <c r="U38" i="30"/>
  <c r="V37" i="30"/>
  <c r="V40" i="30" s="1"/>
  <c r="J41" i="30"/>
  <c r="J56" i="30" l="1"/>
  <c r="K18" i="40"/>
  <c r="R55" i="30"/>
  <c r="R56" i="30" s="1"/>
  <c r="R51" i="30" s="1"/>
  <c r="R50" i="30"/>
  <c r="S54" i="30"/>
  <c r="S58" i="30" s="1"/>
  <c r="S49" i="30"/>
  <c r="T48" i="30"/>
  <c r="S5" i="30"/>
  <c r="R16" i="30"/>
  <c r="R8" i="30" s="1"/>
  <c r="Q49" i="30"/>
  <c r="K43" i="30"/>
  <c r="K39" i="30"/>
  <c r="V38" i="30"/>
  <c r="K9" i="40" l="1"/>
  <c r="J51" i="30"/>
  <c r="S55" i="30"/>
  <c r="S56" i="30" s="1"/>
  <c r="S51" i="30" s="1"/>
  <c r="S50" i="30"/>
  <c r="T54" i="30"/>
  <c r="T58" i="30" s="1"/>
  <c r="U48" i="30"/>
  <c r="T49" i="30"/>
  <c r="K44" i="30"/>
  <c r="T5" i="30"/>
  <c r="S16" i="30"/>
  <c r="S8" i="30" s="1"/>
  <c r="K41" i="30"/>
  <c r="K19" i="40" l="1"/>
  <c r="K20" i="40" s="1"/>
  <c r="J52" i="30"/>
  <c r="T55" i="30"/>
  <c r="T56" i="30" s="1"/>
  <c r="T51" i="30" s="1"/>
  <c r="T50" i="30"/>
  <c r="U54" i="30"/>
  <c r="U58" i="30" s="1"/>
  <c r="U49" i="30"/>
  <c r="V48" i="30"/>
  <c r="U5" i="30"/>
  <c r="T16" i="30"/>
  <c r="T8" i="30" s="1"/>
  <c r="L43" i="30"/>
  <c r="L39" i="30"/>
  <c r="K55" i="30" l="1"/>
  <c r="K50" i="30"/>
  <c r="V54" i="30"/>
  <c r="V49" i="30"/>
  <c r="U55" i="30"/>
  <c r="U56" i="30" s="1"/>
  <c r="U51" i="30" s="1"/>
  <c r="U50" i="30"/>
  <c r="L44" i="30"/>
  <c r="V5" i="30"/>
  <c r="U16" i="30"/>
  <c r="U8" i="30" s="1"/>
  <c r="L41" i="30"/>
  <c r="V58" i="30" l="1"/>
  <c r="G54" i="30"/>
  <c r="K56" i="30"/>
  <c r="L18" i="40"/>
  <c r="V55" i="30"/>
  <c r="V56" i="30" s="1"/>
  <c r="V51" i="30" s="1"/>
  <c r="V50" i="30"/>
  <c r="V16" i="30"/>
  <c r="V8" i="30" s="1"/>
  <c r="M43" i="30"/>
  <c r="M39" i="30"/>
  <c r="L9" i="40" l="1"/>
  <c r="K51" i="30"/>
  <c r="M44" i="30"/>
  <c r="M41" i="30"/>
  <c r="L19" i="40" l="1"/>
  <c r="L20" i="40" s="1"/>
  <c r="K52" i="30"/>
  <c r="N39" i="30"/>
  <c r="N43" i="30"/>
  <c r="L55" i="30" l="1"/>
  <c r="L50" i="30"/>
  <c r="N44" i="30"/>
  <c r="N41" i="30"/>
  <c r="O39" i="30" s="1"/>
  <c r="L56" i="30" l="1"/>
  <c r="M18" i="40"/>
  <c r="O43" i="30"/>
  <c r="M9" i="40" l="1"/>
  <c r="L51" i="30"/>
  <c r="O44" i="30"/>
  <c r="O41" i="30"/>
  <c r="P43" i="30" s="1"/>
  <c r="M19" i="40" l="1"/>
  <c r="M20" i="40" s="1"/>
  <c r="L52" i="30"/>
  <c r="P44" i="30"/>
  <c r="P39" i="30"/>
  <c r="M55" i="30" l="1"/>
  <c r="M50" i="30"/>
  <c r="P41" i="30"/>
  <c r="Q43" i="30" s="1"/>
  <c r="M56" i="30" l="1"/>
  <c r="M51" i="30" s="1"/>
  <c r="N19" i="40" s="1"/>
  <c r="N18" i="40"/>
  <c r="Q44" i="30"/>
  <c r="Q39" i="30"/>
  <c r="Q41" i="30" s="1"/>
  <c r="N20" i="40" l="1"/>
  <c r="N9" i="40"/>
  <c r="M52" i="30"/>
  <c r="R39" i="30"/>
  <c r="R43" i="30"/>
  <c r="R44" i="30" s="1"/>
  <c r="N55" i="30" l="1"/>
  <c r="N50" i="30"/>
  <c r="R52" i="30"/>
  <c r="R41" i="30"/>
  <c r="H6" i="30"/>
  <c r="I4" i="40" s="1"/>
  <c r="N56" i="30" l="1"/>
  <c r="N51" i="30" s="1"/>
  <c r="O19" i="40" s="1"/>
  <c r="O18" i="40"/>
  <c r="I28" i="40"/>
  <c r="H47" i="30"/>
  <c r="H36" i="30"/>
  <c r="S52" i="30"/>
  <c r="S39" i="30"/>
  <c r="S43" i="30"/>
  <c r="S44" i="30" s="1"/>
  <c r="I6" i="30"/>
  <c r="J4" i="40" s="1"/>
  <c r="J32" i="30"/>
  <c r="H43" i="1"/>
  <c r="D90" i="13"/>
  <c r="O20" i="40" l="1"/>
  <c r="O9" i="40"/>
  <c r="N52" i="30"/>
  <c r="J28" i="40"/>
  <c r="K28" i="40" s="1"/>
  <c r="L28" i="40" s="1"/>
  <c r="M28" i="40" s="1"/>
  <c r="N28" i="40" s="1"/>
  <c r="O28" i="40" s="1"/>
  <c r="P28" i="40" s="1"/>
  <c r="Q28" i="40" s="1"/>
  <c r="R28" i="40" s="1"/>
  <c r="H28" i="40"/>
  <c r="I47" i="30"/>
  <c r="I36" i="30"/>
  <c r="S41" i="30"/>
  <c r="J6" i="30"/>
  <c r="K4" i="40" s="1"/>
  <c r="J33" i="30"/>
  <c r="O55" i="30" l="1"/>
  <c r="O50" i="30"/>
  <c r="J47" i="30"/>
  <c r="J36" i="30"/>
  <c r="T43" i="30"/>
  <c r="T44" i="30" s="1"/>
  <c r="T39" i="30"/>
  <c r="K6" i="30"/>
  <c r="L4" i="40" s="1"/>
  <c r="O56" i="30" l="1"/>
  <c r="O51" i="30" s="1"/>
  <c r="P19" i="40" s="1"/>
  <c r="P18" i="40"/>
  <c r="K47" i="30"/>
  <c r="K36" i="30"/>
  <c r="T52" i="30"/>
  <c r="T41" i="30"/>
  <c r="L6" i="30"/>
  <c r="M4" i="40" s="1"/>
  <c r="P9" i="40" l="1"/>
  <c r="P20" i="40"/>
  <c r="O52" i="30"/>
  <c r="L36" i="30"/>
  <c r="L47" i="30"/>
  <c r="M6" i="30"/>
  <c r="N4" i="40" s="1"/>
  <c r="U39" i="30"/>
  <c r="U43" i="30"/>
  <c r="U44" i="30" s="1"/>
  <c r="P55" i="30" l="1"/>
  <c r="P50" i="30"/>
  <c r="M36" i="30"/>
  <c r="M47" i="30"/>
  <c r="U52" i="30"/>
  <c r="U41" i="30"/>
  <c r="N6" i="30"/>
  <c r="O4" i="40" s="1"/>
  <c r="H55" i="1"/>
  <c r="I55" i="1" s="1"/>
  <c r="H7" i="30"/>
  <c r="L8" i="30"/>
  <c r="M8" i="30"/>
  <c r="M32" i="30"/>
  <c r="H15" i="30"/>
  <c r="P56" i="30" l="1"/>
  <c r="P51" i="30" s="1"/>
  <c r="Q19" i="40" s="1"/>
  <c r="Q18" i="40"/>
  <c r="N36" i="30"/>
  <c r="N47" i="30"/>
  <c r="O6" i="30"/>
  <c r="P4" i="40" s="1"/>
  <c r="V43" i="30"/>
  <c r="V44" i="30" s="1"/>
  <c r="V39" i="30"/>
  <c r="P29" i="30"/>
  <c r="H17" i="30"/>
  <c r="O29" i="30"/>
  <c r="Q9" i="40" l="1"/>
  <c r="Q20" i="40"/>
  <c r="P52" i="30"/>
  <c r="O36" i="30"/>
  <c r="O47" i="30"/>
  <c r="H16" i="30"/>
  <c r="H8" i="30" s="1"/>
  <c r="I16" i="30"/>
  <c r="J16" i="30"/>
  <c r="K16" i="30"/>
  <c r="V52" i="30"/>
  <c r="P6" i="30"/>
  <c r="Q4" i="40" s="1"/>
  <c r="I17" i="30"/>
  <c r="Q55" i="30" l="1"/>
  <c r="Q50" i="30"/>
  <c r="P36" i="30"/>
  <c r="P47" i="30"/>
  <c r="Q6" i="30"/>
  <c r="R4" i="40" s="1"/>
  <c r="I18" i="30"/>
  <c r="J18" i="30" s="1"/>
  <c r="J17" i="30"/>
  <c r="K8" i="30"/>
  <c r="J8" i="30"/>
  <c r="I8" i="30"/>
  <c r="Q56" i="30" l="1"/>
  <c r="R18" i="40"/>
  <c r="Q36" i="30"/>
  <c r="Q47" i="30"/>
  <c r="G55" i="30"/>
  <c r="V41" i="30"/>
  <c r="R6" i="30"/>
  <c r="K17" i="30"/>
  <c r="G8" i="30"/>
  <c r="R9" i="40" l="1"/>
  <c r="G56" i="30"/>
  <c r="Q51" i="30"/>
  <c r="R36" i="30"/>
  <c r="R47" i="30"/>
  <c r="S6" i="30"/>
  <c r="G43" i="30"/>
  <c r="L17" i="30"/>
  <c r="R19" i="40" l="1"/>
  <c r="R20" i="40" s="1"/>
  <c r="Q52" i="30"/>
  <c r="R30" i="40" s="1"/>
  <c r="S36" i="30"/>
  <c r="S47" i="30"/>
  <c r="G51" i="30"/>
  <c r="T6" i="30"/>
  <c r="M17" i="30"/>
  <c r="N17" i="30" s="1"/>
  <c r="T36" i="30" l="1"/>
  <c r="T47" i="30"/>
  <c r="U6" i="30"/>
  <c r="G40" i="30"/>
  <c r="K18" i="30"/>
  <c r="L18" i="30" s="1"/>
  <c r="O17" i="30"/>
  <c r="U36" i="30" l="1"/>
  <c r="U47" i="30"/>
  <c r="V6" i="30"/>
  <c r="M18" i="30"/>
  <c r="N18" i="30" s="1"/>
  <c r="P17" i="30"/>
  <c r="Q17" i="30" s="1"/>
  <c r="R17" i="30" s="1"/>
  <c r="S17" i="30" s="1"/>
  <c r="T17" i="30" s="1"/>
  <c r="U17" i="30" s="1"/>
  <c r="V17" i="30" s="1"/>
  <c r="V36" i="30" l="1"/>
  <c r="V47" i="30"/>
  <c r="O18" i="30"/>
  <c r="P18" i="30" l="1"/>
  <c r="Q18" i="30" s="1"/>
  <c r="R18" i="30" l="1"/>
  <c r="S18" i="30" l="1"/>
  <c r="T18" i="30" l="1"/>
  <c r="U18" i="30" s="1"/>
  <c r="V18" i="30" l="1"/>
  <c r="H19" i="30" l="1"/>
  <c r="H21" i="30" s="1"/>
  <c r="H10" i="30" l="1"/>
  <c r="H20" i="30" l="1"/>
  <c r="H22" i="30" s="1"/>
  <c r="I15" i="30" s="1"/>
  <c r="I19" i="30" s="1"/>
  <c r="I21" i="30" s="1"/>
  <c r="I10" i="30" s="1"/>
  <c r="H9" i="30" l="1"/>
  <c r="I8" i="40" s="1"/>
  <c r="I20" i="30"/>
  <c r="I10" i="40" l="1"/>
  <c r="I12" i="40" s="1"/>
  <c r="I22" i="40" s="1"/>
  <c r="I32" i="40" s="1"/>
  <c r="I33" i="40" s="1"/>
  <c r="H11" i="30"/>
  <c r="H12" i="30" s="1"/>
  <c r="I9" i="30"/>
  <c r="J8" i="40" s="1"/>
  <c r="J10" i="40" s="1"/>
  <c r="J12" i="40" s="1"/>
  <c r="J22" i="40" s="1"/>
  <c r="J32" i="40" s="1"/>
  <c r="J33" i="40" s="1"/>
  <c r="I22" i="30"/>
  <c r="J15" i="30" s="1"/>
  <c r="J19" i="30" s="1"/>
  <c r="I7" i="30" l="1"/>
  <c r="I11" i="30" s="1"/>
  <c r="J20" i="30"/>
  <c r="J21" i="30"/>
  <c r="J7" i="30" l="1"/>
  <c r="I12" i="30"/>
  <c r="J22" i="30"/>
  <c r="K15" i="30" s="1"/>
  <c r="K19" i="30" s="1"/>
  <c r="K21" i="30" s="1"/>
  <c r="K10" i="30" s="1"/>
  <c r="J10" i="30"/>
  <c r="J9" i="30"/>
  <c r="K8" i="40" l="1"/>
  <c r="K10" i="40" s="1"/>
  <c r="K12" i="40" s="1"/>
  <c r="K22" i="40" s="1"/>
  <c r="K32" i="40" s="1"/>
  <c r="K33" i="40" s="1"/>
  <c r="K20" i="30"/>
  <c r="K9" i="30" s="1"/>
  <c r="L8" i="40" s="1"/>
  <c r="L10" i="40" s="1"/>
  <c r="L12" i="40" s="1"/>
  <c r="L22" i="40" s="1"/>
  <c r="L32" i="40" s="1"/>
  <c r="L33" i="40" s="1"/>
  <c r="J11" i="30"/>
  <c r="K22" i="30" l="1"/>
  <c r="L15" i="30" s="1"/>
  <c r="L19" i="30" s="1"/>
  <c r="L21" i="30" s="1"/>
  <c r="J12" i="30"/>
  <c r="K7" i="30"/>
  <c r="K11" i="30" s="1"/>
  <c r="L20" i="30" l="1"/>
  <c r="L22" i="30" s="1"/>
  <c r="M15" i="30" s="1"/>
  <c r="M19" i="30" s="1"/>
  <c r="K12" i="30"/>
  <c r="L7" i="30"/>
  <c r="L10" i="30"/>
  <c r="L9" i="30" l="1"/>
  <c r="M8" i="40" s="1"/>
  <c r="M10" i="40" s="1"/>
  <c r="M12" i="40" s="1"/>
  <c r="M22" i="40" s="1"/>
  <c r="M32" i="40" s="1"/>
  <c r="M33" i="40" s="1"/>
  <c r="M21" i="30"/>
  <c r="M10" i="30" s="1"/>
  <c r="L11" i="30" l="1"/>
  <c r="L12" i="30" s="1"/>
  <c r="M7" i="30" l="1"/>
  <c r="M20" i="30" l="1"/>
  <c r="M22" i="30" s="1"/>
  <c r="N15" i="30" s="1"/>
  <c r="N19" i="30" s="1"/>
  <c r="M9" i="30" l="1"/>
  <c r="N20" i="30"/>
  <c r="N21" i="30"/>
  <c r="N22" i="30" s="1"/>
  <c r="O15" i="30" s="1"/>
  <c r="O19" i="30" s="1"/>
  <c r="M11" i="30" l="1"/>
  <c r="N8" i="40"/>
  <c r="N10" i="40" s="1"/>
  <c r="N12" i="40" s="1"/>
  <c r="N22" i="40" s="1"/>
  <c r="N32" i="40" s="1"/>
  <c r="N33" i="40" s="1"/>
  <c r="O21" i="30"/>
  <c r="O10" i="30" s="1"/>
  <c r="O20" i="30"/>
  <c r="O9" i="30" s="1"/>
  <c r="P8" i="40" s="1"/>
  <c r="P10" i="40" s="1"/>
  <c r="P12" i="40" s="1"/>
  <c r="P22" i="40" s="1"/>
  <c r="P32" i="40" s="1"/>
  <c r="P33" i="40" s="1"/>
  <c r="N10" i="30"/>
  <c r="N9" i="30"/>
  <c r="O22" i="30" l="1"/>
  <c r="P15" i="30" s="1"/>
  <c r="P19" i="30" s="1"/>
  <c r="P20" i="30" s="1"/>
  <c r="N7" i="30"/>
  <c r="N11" i="30" s="1"/>
  <c r="M12" i="30"/>
  <c r="O8" i="40"/>
  <c r="O10" i="40" s="1"/>
  <c r="O12" i="40" s="1"/>
  <c r="O22" i="40" s="1"/>
  <c r="O32" i="40" s="1"/>
  <c r="O33" i="40" s="1"/>
  <c r="P21" i="30" l="1"/>
  <c r="P22" i="30" s="1"/>
  <c r="Q15" i="30" s="1"/>
  <c r="Q19" i="30" s="1"/>
  <c r="Q20" i="30" s="1"/>
  <c r="Q9" i="30" s="1"/>
  <c r="P9" i="30"/>
  <c r="P10" i="30"/>
  <c r="N12" i="30"/>
  <c r="O7" i="30"/>
  <c r="O11" i="30" s="1"/>
  <c r="Q21" i="30" l="1"/>
  <c r="Q10" i="30" s="1"/>
  <c r="Q22" i="30"/>
  <c r="R15" i="30" s="1"/>
  <c r="R19" i="30" s="1"/>
  <c r="R22" i="30" s="1"/>
  <c r="S15" i="30" s="1"/>
  <c r="S19" i="30" s="1"/>
  <c r="R8" i="40"/>
  <c r="R10" i="40" s="1"/>
  <c r="R12" i="40" s="1"/>
  <c r="R22" i="40" s="1"/>
  <c r="R32" i="40" s="1"/>
  <c r="R33" i="40" s="1"/>
  <c r="Q8" i="40"/>
  <c r="Q10" i="40" s="1"/>
  <c r="Q12" i="40" s="1"/>
  <c r="Q22" i="40" s="1"/>
  <c r="Q32" i="40" s="1"/>
  <c r="Q33" i="40" s="1"/>
  <c r="P7" i="30"/>
  <c r="P11" i="30" s="1"/>
  <c r="O12" i="30"/>
  <c r="R21" i="30" l="1"/>
  <c r="Q7" i="30"/>
  <c r="Q11" i="30" s="1"/>
  <c r="P12" i="30"/>
  <c r="R10" i="30"/>
  <c r="E33" i="40"/>
  <c r="H35" i="40"/>
  <c r="S21" i="30"/>
  <c r="S10" i="30" s="1"/>
  <c r="S22" i="30"/>
  <c r="T15" i="30" s="1"/>
  <c r="T19" i="30" s="1"/>
  <c r="T22" i="30" l="1"/>
  <c r="U15" i="30" s="1"/>
  <c r="U19" i="30" s="1"/>
  <c r="T21" i="30"/>
  <c r="T10" i="30" s="1"/>
  <c r="Q12" i="30"/>
  <c r="R7" i="30"/>
  <c r="U21" i="30" l="1"/>
  <c r="U22" i="30"/>
  <c r="V15" i="30" s="1"/>
  <c r="V19" i="30" s="1"/>
  <c r="V21" i="30" l="1"/>
  <c r="V10" i="30" s="1"/>
  <c r="V22" i="30"/>
  <c r="W15" i="30" s="1"/>
  <c r="F19" i="30"/>
  <c r="U10" i="30"/>
  <c r="G21" i="30"/>
  <c r="G10" i="30" l="1"/>
  <c r="I25" i="30"/>
  <c r="G25" i="30"/>
  <c r="M25" i="30" s="1"/>
  <c r="M26" i="30" s="1"/>
  <c r="O25" i="30" s="1"/>
  <c r="O26" i="30" s="1"/>
  <c r="G26" i="30" l="1"/>
  <c r="R20" i="30"/>
  <c r="S20" i="30"/>
  <c r="S9" i="30" s="1"/>
  <c r="T20" i="30"/>
  <c r="T9" i="30" s="1"/>
  <c r="U20" i="30"/>
  <c r="U9" i="30" s="1"/>
  <c r="V20" i="30"/>
  <c r="V9" i="30" s="1"/>
  <c r="R9" i="30" l="1"/>
  <c r="G20" i="30"/>
  <c r="G9" i="30" l="1"/>
  <c r="R11" i="30"/>
  <c r="R12" i="30" l="1"/>
  <c r="S7" i="30"/>
  <c r="S11" i="30" s="1"/>
  <c r="T7" i="30" l="1"/>
  <c r="T11" i="30" s="1"/>
  <c r="S12" i="30"/>
  <c r="T12" i="30" l="1"/>
  <c r="U7" i="30"/>
  <c r="U11" i="30" s="1"/>
  <c r="V7" i="30" l="1"/>
  <c r="V11" i="30" s="1"/>
  <c r="V12" i="30" s="1"/>
  <c r="U12"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www.financial-modelling-videos.de</author>
    <author>www.fimovi.de</author>
    <author>Ernst</author>
  </authors>
  <commentList>
    <comment ref="F11" authorId="0" shapeId="0" xr:uid="{00000000-0006-0000-0C00-000002000000}">
      <text>
        <r>
          <rPr>
            <b/>
            <sz val="8"/>
            <color indexed="81"/>
            <rFont val="Tahoma"/>
            <family val="2"/>
          </rPr>
          <t>www.fimovi.de:</t>
        </r>
        <r>
          <rPr>
            <sz val="8"/>
            <color indexed="81"/>
            <rFont val="Tahoma"/>
            <family val="2"/>
          </rPr>
          <t xml:space="preserve">
Empfohlen wird die Eingabe der dreistelligen Währungsabkürzungen nach ISO 4217.
z.B. EUR, CHF, USD, GBP, AUS etc.
Siehe Übersicht z.B.: http://de.wikipedia.org/wiki/ISO_4217</t>
        </r>
      </text>
    </comment>
    <comment ref="F30" authorId="1" shapeId="0" xr:uid="{E1DBA645-CFD5-43D8-8F0C-EEED8FFDC9C5}">
      <text>
        <r>
          <rPr>
            <b/>
            <sz val="9"/>
            <color indexed="81"/>
            <rFont val="Segoe UI"/>
            <family val="2"/>
          </rPr>
          <t>www.fimovi.de:</t>
        </r>
        <r>
          <rPr>
            <sz val="9"/>
            <color indexed="81"/>
            <rFont val="Segoe UI"/>
            <family val="2"/>
          </rPr>
          <t xml:space="preserve">
Nicht ändern =&gt; fest vorgegeben, da 
Verkaufsfiktion nach 10 Jahren (steuerfrei)</t>
        </r>
      </text>
    </comment>
    <comment ref="F34" authorId="1" shapeId="0" xr:uid="{AC49C88A-FC8B-434C-8C7B-FD2DD368FB25}">
      <text>
        <r>
          <rPr>
            <b/>
            <sz val="9"/>
            <color indexed="81"/>
            <rFont val="Segoe UI"/>
            <family val="2"/>
          </rPr>
          <t>www.fimovi.de:</t>
        </r>
        <r>
          <rPr>
            <sz val="9"/>
            <color indexed="81"/>
            <rFont val="Segoe UI"/>
            <family val="2"/>
          </rPr>
          <t xml:space="preserve">
Nicht ändern =&gt; fest vorgegeben, da 
Verkaufsfiktion nach 10 Jahren (steuerfrei)</t>
        </r>
      </text>
    </comment>
    <comment ref="I37" authorId="2" shapeId="0" xr:uid="{41B532EF-C313-4766-BD71-79325868BBC0}">
      <text>
        <r>
          <rPr>
            <b/>
            <sz val="8"/>
            <color indexed="81"/>
            <rFont val="Tahoma"/>
            <family val="2"/>
          </rPr>
          <t>www.fimovi.de:</t>
        </r>
        <r>
          <rPr>
            <sz val="8"/>
            <color indexed="81"/>
            <rFont val="Tahoma"/>
            <family val="2"/>
          </rPr>
          <t xml:space="preserve">
Hinweis- bzw. Kontrollfeld  =&gt; nicht löschen!</t>
        </r>
      </text>
    </comment>
    <comment ref="H43" authorId="1" shapeId="0" xr:uid="{CB52B3D7-28A3-4BA4-A434-A29505E9E1A2}">
      <text>
        <r>
          <rPr>
            <b/>
            <sz val="9"/>
            <color indexed="81"/>
            <rFont val="Segoe UI"/>
            <family val="2"/>
          </rPr>
          <t>www.fimovi.de:</t>
        </r>
        <r>
          <rPr>
            <sz val="9"/>
            <color indexed="81"/>
            <rFont val="Segoe UI"/>
            <family val="2"/>
          </rPr>
          <t xml:space="preserve">
Für </t>
        </r>
        <r>
          <rPr>
            <i/>
            <sz val="9"/>
            <color indexed="81"/>
            <rFont val="Segoe UI"/>
            <family val="2"/>
          </rPr>
          <t>pro rata temporis</t>
        </r>
        <r>
          <rPr>
            <sz val="9"/>
            <color indexed="81"/>
            <rFont val="Segoe UI"/>
            <family val="2"/>
          </rPr>
          <t xml:space="preserve"> Berechnung (Jahr 1)</t>
        </r>
      </text>
    </comment>
    <comment ref="F44" authorId="1" shapeId="0" xr:uid="{56D24ED1-1800-4B0E-810E-934C9315A041}">
      <text>
        <r>
          <rPr>
            <b/>
            <sz val="9"/>
            <color indexed="81"/>
            <rFont val="Segoe UI"/>
            <family val="2"/>
          </rPr>
          <t>www.fimovi.de:</t>
        </r>
        <r>
          <rPr>
            <sz val="9"/>
            <color indexed="81"/>
            <rFont val="Segoe UI"/>
            <family val="2"/>
          </rPr>
          <t xml:space="preserve">
Bsp.: Um genau auf eine Abschreibungsrate von 3% p.a. zu kommen, 
nicht einfach 33,3 Jahre eingeben, sondern </t>
        </r>
        <r>
          <rPr>
            <b/>
            <sz val="9"/>
            <color indexed="81"/>
            <rFont val="Segoe UI"/>
            <family val="2"/>
          </rPr>
          <t>=33+1/3</t>
        </r>
        <r>
          <rPr>
            <sz val="9"/>
            <color indexed="81"/>
            <rFont val="Segoe UI"/>
            <family val="2"/>
          </rPr>
          <t xml:space="preserve"> oder </t>
        </r>
        <r>
          <rPr>
            <b/>
            <sz val="9"/>
            <color indexed="81"/>
            <rFont val="Segoe UI"/>
            <family val="2"/>
          </rPr>
          <t>=1/3%</t>
        </r>
        <r>
          <rPr>
            <sz val="9"/>
            <color indexed="81"/>
            <rFont val="Segoe UI"/>
            <family val="2"/>
          </rPr>
          <t xml:space="preserve"> 
oder </t>
        </r>
        <r>
          <rPr>
            <b/>
            <sz val="9"/>
            <color indexed="81"/>
            <rFont val="Segoe UI"/>
            <family val="2"/>
          </rPr>
          <t>1/0,03</t>
        </r>
        <r>
          <rPr>
            <sz val="9"/>
            <color indexed="81"/>
            <rFont val="Segoe UI"/>
            <family val="2"/>
          </rPr>
          <t xml:space="preserve">
Bei z.B.  40 oder 50 Jahren keine Formel notwendig. Kann direkt als
Wert eingegeben werden.</t>
        </r>
      </text>
    </comment>
    <comment ref="F45" authorId="1" shapeId="0" xr:uid="{9B0534CF-8691-4E96-B036-9B65620DC5F9}">
      <text>
        <r>
          <rPr>
            <b/>
            <sz val="9"/>
            <color indexed="81"/>
            <rFont val="Segoe UI"/>
            <family val="2"/>
          </rPr>
          <t>www.fimovi.de:</t>
        </r>
        <r>
          <rPr>
            <sz val="9"/>
            <color indexed="81"/>
            <rFont val="Segoe UI"/>
            <family val="2"/>
          </rPr>
          <t xml:space="preserve">
Maximalwert gesetzlich vorgegeben!
(modelltechnisch anpassbar)</t>
        </r>
      </text>
    </comment>
    <comment ref="F50" authorId="1" shapeId="0" xr:uid="{3ADDEFC8-CE94-4823-88C1-55B4B31AEF51}">
      <text>
        <r>
          <rPr>
            <b/>
            <sz val="9"/>
            <color indexed="81"/>
            <rFont val="Segoe UI"/>
            <family val="2"/>
          </rPr>
          <t>www.fimovi.de:</t>
        </r>
        <r>
          <rPr>
            <sz val="9"/>
            <color indexed="81"/>
            <rFont val="Segoe UI"/>
            <family val="2"/>
          </rPr>
          <t xml:space="preserve">
Baukostenobergrenze, sofern Bauantrag 
nach dem 31.12.2022 gestellt.</t>
        </r>
      </text>
    </comment>
    <comment ref="I50" authorId="2" shapeId="0" xr:uid="{7B80F1C4-DD42-4A95-8F35-8FC22CB8377B}">
      <text>
        <r>
          <rPr>
            <b/>
            <sz val="8"/>
            <color indexed="81"/>
            <rFont val="Tahoma"/>
            <family val="2"/>
          </rPr>
          <t>www.fimovi.de:</t>
        </r>
        <r>
          <rPr>
            <sz val="8"/>
            <color indexed="81"/>
            <rFont val="Tahoma"/>
            <family val="2"/>
          </rPr>
          <t xml:space="preserve">
Hinweis- bzw. Kontrollfeld  =&gt; nicht löschen!</t>
        </r>
      </text>
    </comment>
    <comment ref="F54" authorId="1" shapeId="0" xr:uid="{68CCCE5C-3C9F-4077-89AB-084115DDC4A2}">
      <text>
        <r>
          <rPr>
            <b/>
            <sz val="9"/>
            <color indexed="81"/>
            <rFont val="Segoe UI"/>
            <family val="2"/>
          </rPr>
          <t>www.fimovi.de:</t>
        </r>
        <r>
          <rPr>
            <sz val="9"/>
            <color indexed="81"/>
            <rFont val="Segoe UI"/>
            <family val="2"/>
          </rPr>
          <t xml:space="preserve">
Förderhöchstgrenze =&gt; Wert gesetzlich vorgegeben! 
(modelltechnisch aber anpassbar)</t>
        </r>
      </text>
    </comment>
    <comment ref="I55" authorId="2" shapeId="0" xr:uid="{F3A9DA55-7663-46FB-9C92-FFDB793667B8}">
      <text>
        <r>
          <rPr>
            <b/>
            <sz val="8"/>
            <color indexed="81"/>
            <rFont val="Tahoma"/>
            <family val="2"/>
          </rPr>
          <t>www.fimovi.de:</t>
        </r>
        <r>
          <rPr>
            <sz val="8"/>
            <color indexed="81"/>
            <rFont val="Tahoma"/>
            <family val="2"/>
          </rPr>
          <t xml:space="preserve">
Hinweis- bzw. Kontrollfeld  =&gt; nicht löschen!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www.fimovi.de</author>
    <author>Ernst</author>
    <author>www.financial-modelling-videos.de</author>
  </authors>
  <commentList>
    <comment ref="W15" authorId="0" shapeId="0" xr:uid="{A27BAFA6-184D-4DDA-9CC7-9F1089AADC7F}">
      <text>
        <r>
          <rPr>
            <b/>
            <sz val="9"/>
            <color indexed="81"/>
            <rFont val="Segoe UI"/>
            <family val="2"/>
          </rPr>
          <t>www.fimovi.de:</t>
        </r>
        <r>
          <rPr>
            <sz val="9"/>
            <color indexed="81"/>
            <rFont val="Segoe UI"/>
            <family val="2"/>
          </rPr>
          <t xml:space="preserve">
Spezialformel, falls AfA-Dauer 
länger als max. Modelllänge</t>
        </r>
      </text>
    </comment>
    <comment ref="P29" authorId="1" shapeId="0" xr:uid="{CA87875D-8F85-4517-99AA-5362CBD88C49}">
      <text>
        <r>
          <rPr>
            <b/>
            <sz val="8"/>
            <color indexed="81"/>
            <rFont val="Tahoma"/>
            <family val="2"/>
          </rPr>
          <t>www.fimovi.de:</t>
        </r>
        <r>
          <rPr>
            <sz val="8"/>
            <color indexed="81"/>
            <rFont val="Tahoma"/>
            <family val="2"/>
          </rPr>
          <t xml:space="preserve">
Hinweis- bzw. Kontrollfeld  =&gt; nicht löschen!</t>
        </r>
      </text>
    </comment>
    <comment ref="J31" authorId="2" shapeId="0" xr:uid="{0F271866-434C-4BD0-9E9C-33F298A00ADB}">
      <text>
        <r>
          <rPr>
            <b/>
            <sz val="8"/>
            <color indexed="81"/>
            <rFont val="Segoe UI"/>
            <family val="2"/>
          </rPr>
          <t>www.fimovi.de:</t>
        </r>
        <r>
          <rPr>
            <sz val="8"/>
            <color indexed="81"/>
            <rFont val="Segoe UI"/>
            <family val="2"/>
          </rPr>
          <t xml:space="preserve">
Ende Investition- bzw. Bauphase
</t>
        </r>
      </text>
    </comment>
  </commentList>
</comments>
</file>

<file path=xl/sharedStrings.xml><?xml version="1.0" encoding="utf-8"?>
<sst xmlns="http://schemas.openxmlformats.org/spreadsheetml/2006/main" count="409" uniqueCount="335">
  <si>
    <t>Million</t>
  </si>
  <si>
    <t>▼</t>
  </si>
  <si>
    <t>Name</t>
  </si>
  <si>
    <t>Zellformatvorlagen</t>
  </si>
  <si>
    <t>Individuelle Zellformatierungen</t>
  </si>
  <si>
    <t>Einheit</t>
  </si>
  <si>
    <t>EUR</t>
  </si>
  <si>
    <t>Annahme</t>
  </si>
  <si>
    <t>Bezeichnung_Eingabe</t>
  </si>
  <si>
    <t>Technische_Eingabe</t>
  </si>
  <si>
    <t>Leere_Zelle</t>
  </si>
  <si>
    <t>Symbole</t>
  </si>
  <si>
    <t>×</t>
  </si>
  <si>
    <t>◄</t>
  </si>
  <si>
    <t>vw</t>
  </si>
  <si>
    <t>tu</t>
  </si>
  <si>
    <t>►</t>
  </si>
  <si>
    <t>Konstanten</t>
  </si>
  <si>
    <t>Tage im Jahr</t>
  </si>
  <si>
    <t>Monate pro Quartal</t>
  </si>
  <si>
    <t>Quartale pro Jahr</t>
  </si>
  <si>
    <t>Rundungstoleranz</t>
  </si>
  <si>
    <t>Tausend</t>
  </si>
  <si>
    <t>GanzkleineZahl</t>
  </si>
  <si>
    <t>Zeile_Schlussbilanz</t>
  </si>
  <si>
    <t>Zeile_Summe</t>
  </si>
  <si>
    <t>Zeile_Zwischensumme</t>
  </si>
  <si>
    <t>Zeile_Abgrenzung</t>
  </si>
  <si>
    <t>Zeilen Formatierungen</t>
  </si>
  <si>
    <t>Referenz_OffSheet</t>
  </si>
  <si>
    <t>Referenz_InSheet</t>
  </si>
  <si>
    <t>Tage_Jahr</t>
  </si>
  <si>
    <t>Monate pro Jahr</t>
  </si>
  <si>
    <t>Monate_Jahr</t>
  </si>
  <si>
    <t>Quartale_Jahr</t>
  </si>
  <si>
    <t>Monate_Quartal</t>
  </si>
  <si>
    <t>Milliarde</t>
  </si>
  <si>
    <t>Pfeil nach unten aktiviert</t>
  </si>
  <si>
    <t>Pfeil nach unten nicht aktiviert</t>
  </si>
  <si>
    <t>Pfeil nach links</t>
  </si>
  <si>
    <t>Pfeil nach rechts</t>
  </si>
  <si>
    <t>Pfeile horizontal aktiviert</t>
  </si>
  <si>
    <t>Pfeile horizontal nicht aktiviert</t>
  </si>
  <si>
    <t>Pf_li</t>
  </si>
  <si>
    <t>Pf_re</t>
  </si>
  <si>
    <t>Pf_hor_ja</t>
  </si>
  <si>
    <t>Pf_hor_nein</t>
  </si>
  <si>
    <t>Pf_unt_ja</t>
  </si>
  <si>
    <t>Pf_unt_nein</t>
  </si>
  <si>
    <t>Status_In_Arbeit</t>
  </si>
  <si>
    <t>Status_In_Ordnung</t>
  </si>
  <si>
    <t>Status_Pruefen</t>
  </si>
  <si>
    <t>Hyperlink</t>
  </si>
  <si>
    <t>Ueb1</t>
  </si>
  <si>
    <t>Blattüberschriften</t>
  </si>
  <si>
    <t>Ueb2</t>
  </si>
  <si>
    <t>Ueb3</t>
  </si>
  <si>
    <t>Ueb4</t>
  </si>
  <si>
    <t>Tabellen_Ueb</t>
  </si>
  <si>
    <t>Tabellen Überschrift</t>
  </si>
  <si>
    <t xml:space="preserve"> mit bedingter Formatierung =&gt; Kopie erforderlich</t>
  </si>
  <si>
    <t>In Ordnung</t>
  </si>
  <si>
    <t>In Arbeit</t>
  </si>
  <si>
    <t>Prüfen</t>
  </si>
  <si>
    <t>Blattüberschrift 1</t>
  </si>
  <si>
    <t>Blattüberschrift 2</t>
  </si>
  <si>
    <t>Blattüberschrift 3</t>
  </si>
  <si>
    <t>Bezeichnung</t>
  </si>
  <si>
    <t>Blatt_1</t>
  </si>
  <si>
    <t>Blatt_2</t>
  </si>
  <si>
    <t>Blatt_3</t>
  </si>
  <si>
    <t>Überschrift 1</t>
  </si>
  <si>
    <t>Überschrift 2</t>
  </si>
  <si>
    <t>Überschrift 3</t>
  </si>
  <si>
    <t>Überschrift 4</t>
  </si>
  <si>
    <t>Hyperlink-Text</t>
  </si>
  <si>
    <t>Schalter_DEU</t>
  </si>
  <si>
    <t>Schalter_ENG</t>
  </si>
  <si>
    <t>Kontr_DEU</t>
  </si>
  <si>
    <t>Kontr_ENG</t>
  </si>
  <si>
    <t>Zeile_Spalten-Summe</t>
  </si>
  <si>
    <t>Quotient</t>
  </si>
  <si>
    <t>mit bedingter Formatierung =&gt; Kopie erforderlich</t>
  </si>
  <si>
    <t>Rund_Tol</t>
  </si>
  <si>
    <t>Kommentar</t>
  </si>
  <si>
    <t>Kommentarfeld</t>
  </si>
  <si>
    <t>Datum</t>
  </si>
  <si>
    <t>Ganz kleine Zahl</t>
  </si>
  <si>
    <t>Abschnittsüberschriften / Gliederung</t>
  </si>
  <si>
    <t>Periodizität</t>
  </si>
  <si>
    <t>Monate</t>
  </si>
  <si>
    <t>Jan</t>
  </si>
  <si>
    <t>Feb</t>
  </si>
  <si>
    <t>Mrz</t>
  </si>
  <si>
    <t>Apr</t>
  </si>
  <si>
    <t>Mai</t>
  </si>
  <si>
    <t>Jun</t>
  </si>
  <si>
    <t>Jul</t>
  </si>
  <si>
    <t>Aug</t>
  </si>
  <si>
    <t>Sep</t>
  </si>
  <si>
    <t>Okt</t>
  </si>
  <si>
    <t>Nov</t>
  </si>
  <si>
    <t>Dez</t>
  </si>
  <si>
    <t>Schalter</t>
  </si>
  <si>
    <t>% p.a.</t>
  </si>
  <si>
    <t>1=Yes , 0=No</t>
  </si>
  <si>
    <t>1=Ja , 0=Nein</t>
  </si>
  <si>
    <t xml:space="preserve"> mit Datenüberprüfung/Gültigkeit =&gt; Kopie erforderlich</t>
  </si>
  <si>
    <t>Aktiv</t>
  </si>
  <si>
    <t>Schalter_JA-NEIN  (keine Zellformatvorlage)</t>
  </si>
  <si>
    <t>Schalter_YES-NO  (keine Zellformatvorlage)</t>
  </si>
  <si>
    <t>Schalter aktiv/inaktiv  (keine Zellformatvorlage)</t>
  </si>
  <si>
    <t>Zahl_Prozent (Basisformatierung)</t>
  </si>
  <si>
    <t>Zahl_Standard (Basisformatierung)</t>
  </si>
  <si>
    <t xml:space="preserve"> i.d.R. anschließend mit weiterer Zellformatvorlage wie Annahme, InSheet, OffSheet etc.</t>
  </si>
  <si>
    <t>Zum Inhaltsverzeichnis</t>
  </si>
  <si>
    <t>Formatierungen, Konstanten &amp; Symbole</t>
  </si>
  <si>
    <t>Externer_Link</t>
  </si>
  <si>
    <t>Flag (Standard)</t>
  </si>
  <si>
    <t>Kontrollen, Schalter &amp; Sonstiges</t>
  </si>
  <si>
    <t>Positiv</t>
  </si>
  <si>
    <t>Null</t>
  </si>
  <si>
    <t>Negativ</t>
  </si>
  <si>
    <t>Konstanten, Symbole &amp; Auswahltabellen</t>
  </si>
  <si>
    <t>Auswahltabellen</t>
  </si>
  <si>
    <r>
      <t xml:space="preserve">  </t>
    </r>
    <r>
      <rPr>
        <u/>
        <sz val="10"/>
        <color theme="1"/>
        <rFont val="Arial"/>
        <family val="2"/>
      </rPr>
      <t>Bsp.</t>
    </r>
    <r>
      <rPr>
        <sz val="10"/>
        <color theme="1"/>
        <rFont val="Arial"/>
        <family val="2"/>
      </rPr>
      <t xml:space="preserve"> Pfeil nach unten (aktiviert, falls Zelle darüber =1)</t>
    </r>
  </si>
  <si>
    <r>
      <t xml:space="preserve">     (</t>
    </r>
    <r>
      <rPr>
        <sz val="10"/>
        <color theme="1"/>
        <rFont val="Arial"/>
        <family val="2"/>
      </rPr>
      <t>aktiviert, falls Zelle darüber =1)</t>
    </r>
  </si>
  <si>
    <t>1.</t>
  </si>
  <si>
    <t>Rückzahlungsmethoden</t>
  </si>
  <si>
    <t>Rückzahlungsmethode</t>
  </si>
  <si>
    <t>Hinw_DEU</t>
  </si>
  <si>
    <t>Hinw_ENG</t>
  </si>
  <si>
    <t>wg. Kopie Gültigkeit:</t>
  </si>
  <si>
    <t xml:space="preserve"> nur positive Werte zulässig</t>
  </si>
  <si>
    <t xml:space="preserve"> nur negative Werte zulässig</t>
  </si>
  <si>
    <t>ISO 4217 Code</t>
  </si>
  <si>
    <t>Text</t>
  </si>
  <si>
    <t>monatlich</t>
  </si>
  <si>
    <t>quartalsweise</t>
  </si>
  <si>
    <t>halbjährlich</t>
  </si>
  <si>
    <t>jährlich</t>
  </si>
  <si>
    <t>Endfällig</t>
  </si>
  <si>
    <t>Tilgungsdarlehen (%-Satz)</t>
  </si>
  <si>
    <t>Tilgungsdarlehen (kompl.)</t>
  </si>
  <si>
    <t>Farbwert (R:G:B)</t>
  </si>
  <si>
    <t>255:255:230</t>
  </si>
  <si>
    <t>Dateiname</t>
  </si>
  <si>
    <t>Projektname</t>
  </si>
  <si>
    <t>Planungsverantwortlicher</t>
  </si>
  <si>
    <t>Währung</t>
  </si>
  <si>
    <t>Übersicht Währungsabkürzungen (ISO 4217)</t>
  </si>
  <si>
    <t>Jahre</t>
  </si>
  <si>
    <t>Status</t>
  </si>
  <si>
    <t>status</t>
  </si>
  <si>
    <t>Nr.</t>
  </si>
  <si>
    <t>Aus</t>
  </si>
  <si>
    <t>An</t>
  </si>
  <si>
    <t>Annuität (kompl.)</t>
  </si>
  <si>
    <t>Annuität (%-Satz)</t>
  </si>
  <si>
    <t>Auswahl [J/N]</t>
  </si>
  <si>
    <t>Betrag</t>
  </si>
  <si>
    <t>Eröffnungsbilanz</t>
  </si>
  <si>
    <t>Schlussbilanz</t>
  </si>
  <si>
    <t>Eingaben nur in diese Zellen !!!</t>
  </si>
  <si>
    <t>Allgemeine Modellinformationen</t>
  </si>
  <si>
    <t>Ab Datum</t>
  </si>
  <si>
    <t>Darlehensart</t>
  </si>
  <si>
    <t>Personaldarlehen</t>
  </si>
  <si>
    <t>Gesichertes Personaldarlehen</t>
  </si>
  <si>
    <t>Realdarlehen</t>
  </si>
  <si>
    <t>Darl_Art</t>
  </si>
  <si>
    <t>Profil und Kontakt</t>
  </si>
  <si>
    <t>Ein Angebot der Fimovi GmbH</t>
  </si>
  <si>
    <t>Webseite:</t>
  </si>
  <si>
    <t>Email:</t>
  </si>
  <si>
    <t>support@fimovi.de</t>
  </si>
  <si>
    <t>in Jahr</t>
  </si>
  <si>
    <t>Letzte Aktualisierung dieser Planung</t>
  </si>
  <si>
    <t>AR</t>
  </si>
  <si>
    <t>www.fimovi.de</t>
  </si>
  <si>
    <t>d.h. max. ansetzen</t>
  </si>
  <si>
    <t>Degressive AfA (Satz p.a. in %)</t>
  </si>
  <si>
    <t>% p.a. degr</t>
  </si>
  <si>
    <t>% p.a. lin.</t>
  </si>
  <si>
    <t>Sonder-AfA p.a.</t>
  </si>
  <si>
    <t>Lineare AfA p.a. (12 Monate)</t>
  </si>
  <si>
    <t>Degressive AfA p.a. (12 Monate)</t>
  </si>
  <si>
    <t>ND</t>
  </si>
  <si>
    <t>RBW bei Wechsel auf lineare AfA</t>
  </si>
  <si>
    <t>Wechsel degr. zu linearer AfA</t>
  </si>
  <si>
    <t>jeweils</t>
  </si>
  <si>
    <t>Check</t>
  </si>
  <si>
    <t>bis Jahr</t>
  </si>
  <si>
    <t>Restbetrag</t>
  </si>
  <si>
    <t>Schlussbilanz (bis Wechsel zu linear)</t>
  </si>
  <si>
    <t>AfA von Jahr</t>
  </si>
  <si>
    <t>Nebenrechnungen (lin. AfA neu)</t>
  </si>
  <si>
    <t xml:space="preserve">Monate in Jahr 1: </t>
  </si>
  <si>
    <t>Ende in Jahr</t>
  </si>
  <si>
    <t xml:space="preserve"> qm Wohnfläche</t>
  </si>
  <si>
    <t>Monate (Jahr 1)</t>
  </si>
  <si>
    <t>AHK maximal zulässig:</t>
  </si>
  <si>
    <t>d.h. insgesamt =&gt;</t>
  </si>
  <si>
    <t>Formel</t>
  </si>
  <si>
    <t>Degr. AfA-Variante</t>
  </si>
  <si>
    <t>Degressive AfA (§ 7 Abs. 5a EStG) mit Wechsel zu linearer AfA mit Sonderabschreibung</t>
  </si>
  <si>
    <t>Degressive AfA (§ 7 Abs. 5a EStG) ohne Wechsel zu linearer AfA mit Sonderabschreibung</t>
  </si>
  <si>
    <t>Degressive AfA (§ 7 Abs. 5a EStG) mit Wechsel zu linearer AfA ohne Sonderabschreibung</t>
  </si>
  <si>
    <t>Degressive AfA (§ 7 Abs. 5a EStG) ohne Wechsel zu linearer AfA ohne Sonderabschreibung</t>
  </si>
  <si>
    <t>Abschreibungsbeginn</t>
  </si>
  <si>
    <t>TT.MM.JJJJ</t>
  </si>
  <si>
    <t>2.</t>
  </si>
  <si>
    <t>AHK komplett laut Planung (nur Gebäudeanteil)</t>
  </si>
  <si>
    <t>Nutzungsdauer (max. 50 Jahre)</t>
  </si>
  <si>
    <t>Wohnfläche in qm</t>
  </si>
  <si>
    <t>qm</t>
  </si>
  <si>
    <t>Pro rata temporis Berechnungen</t>
  </si>
  <si>
    <t>Höhe AHK, Nutzungsdauer u. Abschreibung in %</t>
  </si>
  <si>
    <t>Lineare AfA p.a.</t>
  </si>
  <si>
    <t>Degressive AfA p.a.</t>
  </si>
  <si>
    <t>Kaufpreis (inkl. Nebenkosten)</t>
  </si>
  <si>
    <t>relevant für Finanzierung</t>
  </si>
  <si>
    <t>relevant für Abschreibungen</t>
  </si>
  <si>
    <t>Annahmen Finanzierung</t>
  </si>
  <si>
    <t>Kaltmiete pro qm</t>
  </si>
  <si>
    <t>KfW-Förderdarlehen</t>
  </si>
  <si>
    <t>Zinssatz p.a.</t>
  </si>
  <si>
    <t>Bankdarlehen</t>
  </si>
  <si>
    <t>Check: Gesamtfinanzierung = Kaufpreis (inkl. NK)?</t>
  </si>
  <si>
    <t>Nicht umlagefähige Kosten (z.B. Verwaltung, Instandhaltung etc.)</t>
  </si>
  <si>
    <t>relevant für Mieterträge =&gt;</t>
  </si>
  <si>
    <t>relevant für (eigene) Kosten =&gt;</t>
  </si>
  <si>
    <t>Annahmen Degressive AfA (§ 7 Abs. 5a EStG)</t>
  </si>
  <si>
    <t>Finanzierung</t>
  </si>
  <si>
    <t>Total</t>
  </si>
  <si>
    <t>Tilgung</t>
  </si>
  <si>
    <t>Laufzeit (Jahre)</t>
  </si>
  <si>
    <t>Annahmen</t>
  </si>
  <si>
    <t>Mieteinnahmen</t>
  </si>
  <si>
    <t>Nicht umlagefähige Kosten</t>
  </si>
  <si>
    <t>Zinsen</t>
  </si>
  <si>
    <t>Gesamt</t>
  </si>
  <si>
    <t>Abschreibung</t>
  </si>
  <si>
    <t>Werbungskosten</t>
  </si>
  <si>
    <t>bzw.</t>
  </si>
  <si>
    <t>Info: % abgeschrieben (kumulativ)</t>
  </si>
  <si>
    <t>%</t>
  </si>
  <si>
    <t>Annahmen Einkommensteuer</t>
  </si>
  <si>
    <t>Einkünfte aus VuV</t>
  </si>
  <si>
    <t>Steuerentlastung</t>
  </si>
  <si>
    <t>Liquidität (inkl. Steuerentlastung)</t>
  </si>
  <si>
    <t>4.</t>
  </si>
  <si>
    <t>3.</t>
  </si>
  <si>
    <t>endfällig</t>
  </si>
  <si>
    <t xml:space="preserve">Verbleibende Perioden =&gt; </t>
  </si>
  <si>
    <t>Kapitaldienst</t>
  </si>
  <si>
    <t>Bemessungsgrundlage (BMG)</t>
  </si>
  <si>
    <t>BMG für lineare AfA</t>
  </si>
  <si>
    <t>Sonderabschreibung nach § 7b EStG möglich?</t>
  </si>
  <si>
    <t>Annahmen Sonderabschreibung (§ 7b EStG)</t>
  </si>
  <si>
    <t>Sonderabschreibungen in % p.a.</t>
  </si>
  <si>
    <t>Bemessungsgrundlage (BMG) für Sonder-AfA</t>
  </si>
  <si>
    <t>Annahmen (Sonderabschreibungen)</t>
  </si>
  <si>
    <t>Annahmen (Degressive AfA)</t>
  </si>
  <si>
    <t>Abschreibungen</t>
  </si>
  <si>
    <t>Bilanzkonto (= Buchwert Immobilie)</t>
  </si>
  <si>
    <t>Berechnungen (bei Bedarf einblenden)</t>
  </si>
  <si>
    <r>
      <rPr>
        <b/>
        <sz val="10"/>
        <color theme="1"/>
        <rFont val="Arial"/>
        <family val="2"/>
      </rPr>
      <t>Nur Info:</t>
    </r>
    <r>
      <rPr>
        <sz val="10"/>
        <color theme="1"/>
        <rFont val="Arial"/>
        <family val="2"/>
      </rPr>
      <t xml:space="preserve"> Monatliche Rate (Zins+Tilgung)</t>
    </r>
  </si>
  <si>
    <t>pos. Werte = Entlastung =&gt;</t>
  </si>
  <si>
    <t>Jährliche Mietsteigerung</t>
  </si>
  <si>
    <t>5.</t>
  </si>
  <si>
    <t>Wert der Immobilie</t>
  </si>
  <si>
    <t>davon entfallen auf Kaufnebenkosten</t>
  </si>
  <si>
    <t>davon entfallen auf Gebäudeanteil</t>
  </si>
  <si>
    <t>relevant für Wertermittlung</t>
  </si>
  <si>
    <t>6.</t>
  </si>
  <si>
    <t>Verkaufserlös</t>
  </si>
  <si>
    <t>Jährliche Liquidität (inkl. Steuerentlastung)</t>
  </si>
  <si>
    <t>Cashflow</t>
  </si>
  <si>
    <t>Rückzahlung Restschuld Bankdarlehen</t>
  </si>
  <si>
    <t>Verwendetes Eigenkapital</t>
  </si>
  <si>
    <t>Neubau ETW (Hauptstr. 45)</t>
  </si>
  <si>
    <t>a)</t>
  </si>
  <si>
    <t>b)</t>
  </si>
  <si>
    <t>c)</t>
  </si>
  <si>
    <t>d)</t>
  </si>
  <si>
    <t>e)</t>
  </si>
  <si>
    <t>3. Bankdarlehen</t>
  </si>
  <si>
    <t>2. KfW-Förderdarlehen</t>
  </si>
  <si>
    <t>1. Eigenkapital (EK)</t>
  </si>
  <si>
    <t>pro Monat (in Jahr 1)</t>
  </si>
  <si>
    <t>pro Jahr (Jahr 1)</t>
  </si>
  <si>
    <t>relevant für Erlös bei Verkauf</t>
  </si>
  <si>
    <t>relevant für Mieterträge Folgejahre</t>
  </si>
  <si>
    <t>Jährliche Wertsteigerung der Immobilie</t>
  </si>
  <si>
    <t>(Initiales Eigenkapital hier nicht berücksichtigt)</t>
  </si>
  <si>
    <t>(Marktwert (inkl. Grdstück, abzgl. urspr. Kaufnebenkosten) =&gt; nicht Buchwert)</t>
  </si>
  <si>
    <t>Cashflow &amp; Rendite (Steuerfreier Verkauf nach 10 Jahren)</t>
  </si>
  <si>
    <t>Kauf</t>
  </si>
  <si>
    <t>Liquidität der Immobilie</t>
  </si>
  <si>
    <t>Annahmen Immobilie</t>
  </si>
  <si>
    <t>Persönlicher Steuersatz (Einkommensteuer)</t>
  </si>
  <si>
    <t>ggf. zusätzlich Soli + KiSt berücksichtigen bzw. einrechnen</t>
  </si>
  <si>
    <t>https://fimovi.de/ubersicht-steuern-sparen-mit-neuen-abschreibungsvarianten-fur-immobilien/</t>
  </si>
  <si>
    <t>Annuität</t>
  </si>
  <si>
    <t>A</t>
  </si>
  <si>
    <t>B</t>
  </si>
  <si>
    <t>Degressiv mit Wechsel zu linearer AfA (ggf. inkl. Sonderabschreibung)</t>
  </si>
  <si>
    <t>Tilgung p.a. (im ersten Jahr)</t>
  </si>
  <si>
    <t>feste Laufzeit mit endfälliger Tilgung</t>
  </si>
  <si>
    <t>Rendite: IRR</t>
  </si>
  <si>
    <t>Prüfung Förderhöchstgrenze</t>
  </si>
  <si>
    <t>Delta =&gt;</t>
  </si>
  <si>
    <t>Inflationsrate</t>
  </si>
  <si>
    <t>real = inflationsbereinigt</t>
  </si>
  <si>
    <t>Zeilensumme</t>
  </si>
  <si>
    <t>Prüfung Baukostenobergrenze</t>
  </si>
  <si>
    <t>Es müssen versch. Voraussetzungen erfüllt sein (vgl. Blogbeitrag)</t>
  </si>
  <si>
    <t>AHK Ihrer Immobilie:</t>
  </si>
  <si>
    <t>Mehr Informationen auf unserer Webseite !</t>
  </si>
  <si>
    <t>(Kauf, Modernisierung &amp; Neubauprojekte)</t>
  </si>
  <si>
    <t>von Immobilienprojekten</t>
  </si>
  <si>
    <t>Planung und Analyse</t>
  </si>
  <si>
    <t>EFT Immobilien</t>
  </si>
  <si>
    <t>Copyright by Fimovi GmbH</t>
  </si>
  <si>
    <t>Rechtlicher Hinweis</t>
  </si>
  <si>
    <t>Ein Tutorial der Fimovi GmbH</t>
  </si>
  <si>
    <t>Mit Neubau-Immobilien Steuern sparen</t>
  </si>
  <si>
    <t>und systematisch Vermögen aufbauen</t>
  </si>
  <si>
    <t>Renditekalkulator: Vermietung von Neubau-Immobilien</t>
  </si>
  <si>
    <t>4ed294Df7db6e2e517029c2F3f0c3bA3</t>
  </si>
  <si>
    <t>AFA-Rechner Immobilien</t>
  </si>
  <si>
    <t xml:space="preserve">Berechnung der AfA von Gebäuden </t>
  </si>
  <si>
    <t>über die gesamte Nutzungsdauer</t>
  </si>
  <si>
    <t>für alle gesetzlich zulässigen Verfahren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</si>
</sst>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 #,##0_);_(* \(#,##0\);_(* &quot;-&quot;??_);_(@_)"/>
    <numFmt numFmtId="169" formatCode="#,##0_-;\ \(#,##0\);_-* &quot;-&quot;??;_-@_-"/>
    <numFmt numFmtId="170" formatCode="&quot;Fail&quot;;&quot;Fail&quot;;&quot;Ok&quot;"/>
    <numFmt numFmtId="171" formatCode="&quot;Fehler&quot;;&quot;Fehler&quot;;&quot;Ok&quot;"/>
    <numFmt numFmtId="172" formatCode="&quot;An&quot;;&quot;An&quot;;&quot;Aus&quot;"/>
    <numFmt numFmtId="173" formatCode="_(* #,##0.0\x_);_(* \(#,##0.0\x\);_(* &quot;-&quot;??_);_(@_)"/>
    <numFmt numFmtId="174" formatCode="&quot;On&quot;;&quot;On&quot;;&quot;Off&quot;"/>
    <numFmt numFmtId="175" formatCode="_(* #,##0.00%_);_(* \(#,##0.00%\);_(* &quot;-&quot;??_);_(@_)"/>
    <numFmt numFmtId="176" formatCode="[$-407]d/\ mmm/\ yy;@"/>
    <numFmt numFmtId="177" formatCode="_(* #,##0%_);_(* \(#,##0%\);_(* &quot;-&quot;??_);_(@_)"/>
    <numFmt numFmtId="178" formatCode="&quot;$&quot;#,##0;[Red]\-&quot;$&quot;#,##0"/>
    <numFmt numFmtId="179" formatCode="_(* #,##0.0%_);_(* \(#,##0.0%\);_(* &quot;-&quot;??_);_(@_)"/>
    <numFmt numFmtId="180" formatCode="&quot;Yes&quot;;;&quot;No&quot;"/>
    <numFmt numFmtId="181" formatCode="&quot;Ja&quot;;;&quot;Nein&quot;"/>
    <numFmt numFmtId="182" formatCode="_(* #,##0_);_(* \(#,##0\);_(* &quot;&quot;??_);_(@_)"/>
    <numFmt numFmtId="183" formatCode="_(* #,##0.0_);_(* \(#,##0.0\);_(* &quot;-&quot;??_);_(@_)"/>
    <numFmt numFmtId="184" formatCode="&quot;Hinweis&quot;;&quot;Hinweis&quot;;&quot;Ok&quot;"/>
    <numFmt numFmtId="185" formatCode="&quot;Alert&quot;;&quot;Alert&quot;;&quot;Ok&quot;"/>
    <numFmt numFmtId="186" formatCode="[$-407]\ mmm/\ yy;@"/>
    <numFmt numFmtId="187" formatCode="0\ &quot;Monate&quot;"/>
    <numFmt numFmtId="188" formatCode="&quot;Jahr&quot;\ 0"/>
    <numFmt numFmtId="189" formatCode="_-* #,##0.0\ _€_-;\-* #,##0.0\ _€_-;_-* &quot;-&quot;?\ _€_-;_-@_-"/>
    <numFmt numFmtId="190" formatCode="0.000000"/>
    <numFmt numFmtId="191" formatCode="_-* #,##0.00\ _€_-;\-* #,##0.00\ _€_-;_-* &quot;-&quot;?\ _€_-;_-@_-"/>
    <numFmt numFmtId="192" formatCode="_-* #,##0\ _€_-;\-* #,##0\ _€_-;_-* &quot;-&quot;?\ _€_-;_-@_-"/>
    <numFmt numFmtId="193" formatCode="0.00\ &quot;Jahre&quot;"/>
    <numFmt numFmtId="194" formatCode="_(\ #,##0_);_(\ \(#,##0\);_(\ &quot;-&quot;??_);_(@_)"/>
    <numFmt numFmtId="195" formatCode="0.0%"/>
    <numFmt numFmtId="196" formatCode="&quot;JA&quot;;&quot;Ja&quot;;&quot;Nein&quot;"/>
    <numFmt numFmtId="197" formatCode="[$-407]d/\ mmmm\ yyyy;@"/>
    <numFmt numFmtId="198" formatCode="dd/mm/yy"/>
  </numFmts>
  <fonts count="82">
    <font>
      <sz val="10"/>
      <color theme="1"/>
      <name val="Arial"/>
      <family val="2"/>
    </font>
    <font>
      <sz val="11"/>
      <color theme="1"/>
      <name val="Calibri"/>
      <family val="2"/>
      <scheme val="minor"/>
    </font>
    <font>
      <sz val="18"/>
      <name val="Arial"/>
      <family val="2"/>
    </font>
    <font>
      <b/>
      <sz val="11"/>
      <name val="Arial"/>
      <family val="2"/>
    </font>
    <font>
      <sz val="10"/>
      <color theme="1" tint="0.34998626667073579"/>
      <name val="Arial"/>
      <family val="2"/>
    </font>
    <font>
      <sz val="10"/>
      <name val="Arial"/>
      <family val="2"/>
    </font>
    <font>
      <sz val="10"/>
      <color theme="1" tint="0.499984740745262"/>
      <name val="Arial"/>
      <family val="2"/>
    </font>
    <font>
      <u/>
      <sz val="11"/>
      <name val="Arial"/>
      <family val="2"/>
    </font>
    <font>
      <sz val="10"/>
      <color theme="0"/>
      <name val="Arial"/>
      <family val="2"/>
    </font>
    <font>
      <sz val="10"/>
      <color rgb="FF974706"/>
      <name val="Arial"/>
      <family val="2"/>
    </font>
    <font>
      <sz val="10"/>
      <color theme="0" tint="-0.24994659260841701"/>
      <name val="Arial"/>
      <family val="2"/>
    </font>
    <font>
      <sz val="10"/>
      <color indexed="55"/>
      <name val="Arial"/>
      <family val="2"/>
    </font>
    <font>
      <sz val="10"/>
      <color theme="1" tint="0.34998626667073579"/>
      <name val="Wingdings 3"/>
      <family val="1"/>
      <charset val="2"/>
    </font>
    <font>
      <sz val="16"/>
      <color indexed="22"/>
      <name val="Arial"/>
      <family val="2"/>
    </font>
    <font>
      <sz val="10"/>
      <color indexed="55"/>
      <name val="Helvetica-Narrow"/>
      <family val="2"/>
    </font>
    <font>
      <b/>
      <u/>
      <sz val="10"/>
      <color indexed="56"/>
      <name val="Arial"/>
      <family val="2"/>
    </font>
    <font>
      <b/>
      <sz val="10"/>
      <name val="Arial"/>
      <family val="2"/>
    </font>
    <font>
      <sz val="9"/>
      <color theme="1"/>
      <name val="Arial"/>
      <family val="2"/>
    </font>
    <font>
      <sz val="10"/>
      <name val="Helvetica-Narrow"/>
      <family val="2"/>
    </font>
    <font>
      <b/>
      <sz val="16"/>
      <color indexed="9"/>
      <name val="Arial"/>
      <family val="2"/>
    </font>
    <font>
      <sz val="12"/>
      <color indexed="9"/>
      <name val="Arial"/>
      <family val="2"/>
    </font>
    <font>
      <b/>
      <sz val="10"/>
      <color theme="1"/>
      <name val="Arial"/>
      <family val="2"/>
    </font>
    <font>
      <sz val="14"/>
      <color indexed="9"/>
      <name val="Arial"/>
      <family val="2"/>
    </font>
    <font>
      <sz val="10"/>
      <color rgb="FFFF0000"/>
      <name val="Arial"/>
      <family val="2"/>
    </font>
    <font>
      <sz val="8"/>
      <color theme="4" tint="-0.24994659260841701"/>
      <name val="Arial"/>
      <family val="2"/>
    </font>
    <font>
      <sz val="10"/>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8"/>
      <name val="Arial"/>
      <family val="2"/>
    </font>
    <font>
      <sz val="10"/>
      <color indexed="22"/>
      <name val="Helvetica-Narrow"/>
      <family val="2"/>
    </font>
    <font>
      <sz val="10"/>
      <color indexed="16"/>
      <name val="Arial"/>
      <family val="2"/>
    </font>
    <font>
      <u/>
      <sz val="10"/>
      <color theme="1"/>
      <name val="Arial"/>
      <family val="2"/>
    </font>
    <font>
      <b/>
      <sz val="16"/>
      <color rgb="FF25346A"/>
      <name val="Arial"/>
      <family val="2"/>
    </font>
    <font>
      <b/>
      <sz val="8"/>
      <color indexed="81"/>
      <name val="Tahoma"/>
      <family val="2"/>
    </font>
    <font>
      <sz val="8"/>
      <color indexed="81"/>
      <name val="Tahoma"/>
      <family val="2"/>
    </font>
    <font>
      <sz val="10"/>
      <color rgb="FF00B050"/>
      <name val="Arial"/>
      <family val="2"/>
    </font>
    <font>
      <sz val="8"/>
      <color indexed="81"/>
      <name val="Segoe UI"/>
      <family val="2"/>
    </font>
    <font>
      <b/>
      <sz val="8"/>
      <color indexed="81"/>
      <name val="Segoe UI"/>
      <family val="2"/>
    </font>
    <font>
      <i/>
      <sz val="10"/>
      <color theme="1"/>
      <name val="Arial"/>
      <family val="2"/>
    </font>
    <font>
      <sz val="9"/>
      <color indexed="81"/>
      <name val="Segoe UI"/>
      <family val="2"/>
    </font>
    <font>
      <b/>
      <sz val="9"/>
      <color indexed="81"/>
      <name val="Segoe UI"/>
      <family val="2"/>
    </font>
    <font>
      <sz val="10"/>
      <color theme="4" tint="-0.499984740745262"/>
      <name val="Arial"/>
      <family val="2"/>
    </font>
    <font>
      <sz val="8"/>
      <color theme="1"/>
      <name val="Arial"/>
      <family val="2"/>
    </font>
    <font>
      <u/>
      <sz val="10"/>
      <color theme="10"/>
      <name val="Arial"/>
      <family val="2"/>
    </font>
    <font>
      <b/>
      <sz val="22"/>
      <color theme="1"/>
      <name val="Calibri"/>
      <family val="2"/>
      <scheme val="minor"/>
    </font>
    <font>
      <sz val="22"/>
      <color theme="1"/>
      <name val="Calibri"/>
      <family val="2"/>
      <scheme val="minor"/>
    </font>
    <font>
      <sz val="22"/>
      <color theme="0" tint="-0.499984740745262"/>
      <name val="Calibri"/>
      <family val="2"/>
      <scheme val="minor"/>
    </font>
    <font>
      <sz val="20"/>
      <color theme="0" tint="-0.499984740745262"/>
      <name val="Calibri"/>
      <family val="2"/>
      <scheme val="minor"/>
    </font>
    <font>
      <b/>
      <sz val="22"/>
      <color theme="0"/>
      <name val="Calibri"/>
      <family val="2"/>
      <scheme val="minor"/>
    </font>
    <font>
      <u/>
      <sz val="11"/>
      <color theme="10"/>
      <name val="Calibri"/>
      <family val="2"/>
      <scheme val="minor"/>
    </font>
    <font>
      <i/>
      <sz val="9"/>
      <color indexed="81"/>
      <name val="Segoe UI"/>
      <family val="2"/>
    </font>
    <font>
      <sz val="10"/>
      <color theme="0" tint="-0.24994659260841701"/>
      <name val="Helvetica-Narrow"/>
      <family val="2"/>
    </font>
    <font>
      <b/>
      <sz val="12"/>
      <name val="Arial"/>
      <family val="2"/>
    </font>
    <font>
      <b/>
      <sz val="10"/>
      <name val="Helvetica-Narrow"/>
    </font>
    <font>
      <b/>
      <sz val="10"/>
      <color theme="1" tint="0.499984740745262"/>
      <name val="Arial"/>
      <family val="2"/>
    </font>
    <font>
      <b/>
      <sz val="10"/>
      <name val="Helvetica-Narrow"/>
      <family val="2"/>
    </font>
    <font>
      <i/>
      <sz val="10"/>
      <color theme="0" tint="-0.499984740745262"/>
      <name val="Arial"/>
      <family val="2"/>
    </font>
    <font>
      <sz val="10"/>
      <name val="Times New Roman"/>
      <family val="1"/>
    </font>
    <font>
      <sz val="20"/>
      <color rgb="FF92D050"/>
      <name val="Wingdings"/>
      <charset val="2"/>
    </font>
    <font>
      <sz val="20"/>
      <color rgb="FFFF0000"/>
      <name val="Wingdings"/>
      <charset val="2"/>
    </font>
    <font>
      <b/>
      <sz val="20"/>
      <color theme="0"/>
      <name val="Arial"/>
      <family val="2"/>
    </font>
    <font>
      <sz val="14"/>
      <color theme="1"/>
      <name val="Arial"/>
      <family val="2"/>
    </font>
    <font>
      <u/>
      <sz val="16"/>
      <color theme="10"/>
      <name val="Arial"/>
      <family val="2"/>
    </font>
    <font>
      <b/>
      <sz val="20"/>
      <color theme="1"/>
      <name val="Arial"/>
      <family val="2"/>
    </font>
    <font>
      <sz val="11"/>
      <color theme="0" tint="-0.499984740745262"/>
      <name val="Calibri"/>
      <family val="2"/>
      <scheme val="minor"/>
    </font>
    <font>
      <b/>
      <sz val="11"/>
      <color rgb="FF313D72"/>
      <name val="Calibri"/>
      <family val="2"/>
      <scheme val="minor"/>
    </font>
    <font>
      <b/>
      <sz val="22"/>
      <color rgb="FFFF0000"/>
      <name val="Calibri"/>
      <family val="2"/>
      <scheme val="minor"/>
    </font>
  </fonts>
  <fills count="51">
    <fill>
      <patternFill patternType="none"/>
    </fill>
    <fill>
      <patternFill patternType="gray125"/>
    </fill>
    <fill>
      <patternFill patternType="solid">
        <fgColor theme="0" tint="-0.14996795556505021"/>
        <bgColor indexed="64"/>
      </patternFill>
    </fill>
    <fill>
      <patternFill patternType="solid">
        <fgColor rgb="FFFFFFCC"/>
        <bgColor indexed="64"/>
      </patternFill>
    </fill>
    <fill>
      <patternFill patternType="mediumGray">
        <fgColor theme="1" tint="0.34998626667073579"/>
        <bgColor indexed="65"/>
      </patternFill>
    </fill>
    <fill>
      <patternFill patternType="lightUp">
        <fgColor theme="0" tint="-0.24994659260841701"/>
        <bgColor indexed="65"/>
      </patternFill>
    </fill>
    <fill>
      <patternFill patternType="lightUp">
        <fgColor indexed="23"/>
        <bgColor indexed="9"/>
      </patternFill>
    </fill>
    <fill>
      <patternFill patternType="solid">
        <fgColor theme="0"/>
        <bgColor indexed="64"/>
      </patternFill>
    </fill>
    <fill>
      <patternFill patternType="lightVertical">
        <fgColor theme="6" tint="0.39994506668294322"/>
        <bgColor indexed="9"/>
      </patternFill>
    </fill>
    <fill>
      <patternFill patternType="lightVertical">
        <fgColor rgb="FFFFC000"/>
        <bgColor indexed="9"/>
      </patternFill>
    </fill>
    <fill>
      <patternFill patternType="lightVertical">
        <fgColor rgb="FFC00000"/>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3"/>
        <bgColor indexed="64"/>
      </patternFill>
    </fill>
    <fill>
      <patternFill patternType="solid">
        <fgColor theme="9" tint="0.59996337778862885"/>
        <bgColor indexed="64"/>
      </patternFill>
    </fill>
    <fill>
      <patternFill patternType="solid">
        <fgColor rgb="FF25346A"/>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E6"/>
        <bgColor indexed="64"/>
      </patternFill>
    </fill>
    <fill>
      <patternFill patternType="solid">
        <fgColor theme="0" tint="-0.249977111117893"/>
        <bgColor indexed="64"/>
      </patternFill>
    </fill>
    <fill>
      <patternFill patternType="solid">
        <fgColor indexed="9"/>
        <bgColor indexed="64"/>
      </patternFill>
    </fill>
    <fill>
      <patternFill patternType="solid">
        <fgColor theme="1"/>
        <bgColor indexed="64"/>
      </patternFill>
    </fill>
  </fills>
  <borders count="44">
    <border>
      <left/>
      <right/>
      <top/>
      <bottom/>
      <diagonal/>
    </border>
    <border>
      <left/>
      <right/>
      <top/>
      <bottom style="medium">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dashed">
        <color theme="1" tint="0.34998626667073579"/>
      </top>
      <bottom/>
      <diagonal/>
    </border>
    <border>
      <left style="thin">
        <color auto="1"/>
      </left>
      <right style="thin">
        <color auto="1"/>
      </right>
      <top style="thin">
        <color auto="1"/>
      </top>
      <bottom style="thin">
        <color auto="1"/>
      </bottom>
      <diagonal/>
    </border>
    <border>
      <left/>
      <right/>
      <top style="thin">
        <color theme="1" tint="0.34998626667073579"/>
      </top>
      <bottom/>
      <diagonal/>
    </border>
    <border>
      <left/>
      <right/>
      <top style="thin">
        <color theme="1" tint="0.34998626667073579"/>
      </top>
      <bottom style="thin">
        <color theme="1" tint="0.34998626667073579"/>
      </bottom>
      <diagonal/>
    </border>
    <border>
      <left/>
      <right/>
      <top style="thin">
        <color theme="1" tint="0.34998626667073579"/>
      </top>
      <bottom style="double">
        <color theme="1"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23"/>
      </left>
      <right style="thin">
        <color indexed="23"/>
      </right>
      <top/>
      <bottom style="thin">
        <color indexed="23"/>
      </bottom>
      <diagonal/>
    </border>
    <border>
      <left style="thin">
        <color indexed="55"/>
      </left>
      <right style="thin">
        <color indexed="55"/>
      </right>
      <top style="thin">
        <color indexed="55"/>
      </top>
      <bottom style="thin">
        <color indexed="55"/>
      </bottom>
      <diagonal/>
    </border>
    <border>
      <left style="hair">
        <color auto="1"/>
      </left>
      <right style="hair">
        <color auto="1"/>
      </right>
      <top style="hair">
        <color auto="1"/>
      </top>
      <bottom style="hair">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55"/>
      </left>
      <right style="thin">
        <color indexed="55"/>
      </right>
      <top style="thin">
        <color indexed="55"/>
      </top>
      <bottom style="thin">
        <color auto="1"/>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rgb="FFC00000"/>
      </left>
      <right style="thin">
        <color rgb="FFC00000"/>
      </right>
      <top style="thin">
        <color rgb="FFC00000"/>
      </top>
      <bottom style="thin">
        <color rgb="FFC00000"/>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auto="1"/>
      </left>
      <right style="thin">
        <color auto="1"/>
      </right>
      <top style="thin">
        <color auto="1"/>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theme="1"/>
      </left>
      <right/>
      <top style="thin">
        <color theme="0"/>
      </top>
      <bottom style="thin">
        <color theme="0"/>
      </bottom>
      <diagonal/>
    </border>
    <border>
      <left/>
      <right/>
      <top style="thin">
        <color theme="0"/>
      </top>
      <bottom style="thin">
        <color theme="0"/>
      </bottom>
      <diagonal/>
    </border>
    <border>
      <left/>
      <right style="double">
        <color theme="1"/>
      </right>
      <top style="thin">
        <color theme="0"/>
      </top>
      <bottom style="thin">
        <color theme="0"/>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94">
    <xf numFmtId="0" fontId="0" fillId="0" borderId="0">
      <alignment vertical="center"/>
    </xf>
    <xf numFmtId="0" fontId="2" fillId="0" borderId="1" applyNumberFormat="0">
      <alignment vertical="center"/>
    </xf>
    <xf numFmtId="0" fontId="47" fillId="0" borderId="0" applyNumberFormat="0" applyFill="0" applyBorder="0">
      <alignment vertical="center"/>
    </xf>
    <xf numFmtId="0" fontId="3" fillId="0" borderId="0" applyNumberFormat="0" applyFill="0" applyBorder="0">
      <alignment vertical="center"/>
    </xf>
    <xf numFmtId="0" fontId="4" fillId="2" borderId="2" applyNumberFormat="0" applyAlignment="0"/>
    <xf numFmtId="0" fontId="5" fillId="2" borderId="2" applyNumberFormat="0" applyProtection="0">
      <alignment vertical="center"/>
    </xf>
    <xf numFmtId="0" fontId="6" fillId="0" borderId="0" applyNumberFormat="0" applyFill="0" applyBorder="0">
      <alignment vertical="center"/>
    </xf>
    <xf numFmtId="0" fontId="7" fillId="0" borderId="0" applyNumberFormat="0" applyFill="0" applyBorder="0" applyAlignment="0"/>
    <xf numFmtId="0" fontId="5" fillId="0" borderId="3" applyNumberFormat="0" applyFont="0" applyFill="0" applyAlignment="0" applyProtection="0"/>
    <xf numFmtId="0" fontId="8" fillId="44" borderId="4" applyNumberFormat="0">
      <alignment horizontal="centerContinuous" vertical="center" wrapText="1"/>
    </xf>
    <xf numFmtId="0" fontId="5" fillId="0" borderId="5" applyNumberFormat="0" applyFont="0" applyFill="0" applyAlignment="0" applyProtection="0"/>
    <xf numFmtId="0" fontId="5" fillId="0" borderId="6" applyNumberFormat="0" applyFont="0" applyFill="0" applyAlignment="0" applyProtection="0"/>
    <xf numFmtId="0" fontId="5" fillId="0" borderId="7" applyNumberFormat="0" applyFont="0" applyFill="0" applyAlignment="0" applyProtection="0"/>
    <xf numFmtId="0" fontId="5" fillId="0" borderId="2" applyNumberFormat="0" applyAlignment="0"/>
    <xf numFmtId="173" fontId="5" fillId="0" borderId="0" applyFont="0" applyFill="0" applyBorder="0" applyAlignment="0" applyProtection="0"/>
    <xf numFmtId="0" fontId="9" fillId="2" borderId="2" applyNumberFormat="0">
      <alignment vertical="center"/>
    </xf>
    <xf numFmtId="0" fontId="5" fillId="3" borderId="2" applyNumberFormat="0" applyAlignment="0"/>
    <xf numFmtId="0" fontId="5" fillId="4" borderId="2" applyNumberFormat="0" applyFont="0" applyAlignment="0"/>
    <xf numFmtId="169" fontId="10" fillId="5" borderId="8"/>
    <xf numFmtId="170" fontId="50" fillId="0" borderId="2">
      <alignment horizontal="center" vertical="center"/>
    </xf>
    <xf numFmtId="0" fontId="21" fillId="9" borderId="12">
      <alignment horizontal="center"/>
    </xf>
    <xf numFmtId="172" fontId="14" fillId="0" borderId="10">
      <alignment horizontal="center"/>
    </xf>
    <xf numFmtId="0" fontId="15" fillId="0" borderId="0" applyFill="0" applyBorder="0">
      <alignment vertical="center"/>
    </xf>
    <xf numFmtId="0" fontId="24" fillId="3" borderId="11" applyNumberFormat="0" applyAlignment="0">
      <alignment vertical="center"/>
    </xf>
    <xf numFmtId="0" fontId="19" fillId="44" borderId="0">
      <alignment vertical="center"/>
    </xf>
    <xf numFmtId="0" fontId="22" fillId="44" borderId="0">
      <alignment vertical="center"/>
    </xf>
    <xf numFmtId="0" fontId="20" fillId="44" borderId="0"/>
    <xf numFmtId="0" fontId="21" fillId="8" borderId="12">
      <alignment horizontal="center"/>
    </xf>
    <xf numFmtId="0" fontId="21" fillId="10" borderId="12">
      <alignment horizontal="center"/>
    </xf>
    <xf numFmtId="171" fontId="50" fillId="0" borderId="2">
      <alignment horizontal="center" vertical="center"/>
    </xf>
    <xf numFmtId="167" fontId="25" fillId="0" borderId="0" applyFont="0" applyFill="0" applyBorder="0" applyAlignment="0" applyProtection="0"/>
    <xf numFmtId="165" fontId="25" fillId="0" borderId="0" applyFont="0" applyFill="0" applyBorder="0" applyAlignment="0" applyProtection="0"/>
    <xf numFmtId="166" fontId="25" fillId="0" borderId="0" applyFont="0" applyFill="0" applyBorder="0" applyAlignment="0" applyProtection="0"/>
    <xf numFmtId="164" fontId="25" fillId="0" borderId="0" applyFont="0" applyFill="0" applyBorder="0" applyAlignment="0" applyProtection="0"/>
    <xf numFmtId="9" fontId="25" fillId="0" borderId="0" applyFont="0" applyFill="0" applyBorder="0" applyAlignment="0" applyProtection="0"/>
    <xf numFmtId="0" fontId="26" fillId="0" borderId="0" applyNumberFormat="0" applyFill="0" applyBorder="0" applyAlignment="0" applyProtection="0"/>
    <xf numFmtId="0" fontId="27" fillId="0" borderId="13" applyNumberFormat="0" applyFill="0" applyAlignment="0" applyProtection="0"/>
    <xf numFmtId="0" fontId="28" fillId="0" borderId="14" applyNumberFormat="0" applyFill="0" applyAlignment="0" applyProtection="0"/>
    <xf numFmtId="0" fontId="29" fillId="0" borderId="15" applyNumberFormat="0" applyFill="0" applyAlignment="0" applyProtection="0"/>
    <xf numFmtId="0" fontId="29" fillId="0" borderId="0" applyNumberFormat="0" applyFill="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2" fillId="13" borderId="0" applyNumberFormat="0" applyBorder="0" applyAlignment="0" applyProtection="0"/>
    <xf numFmtId="0" fontId="33" fillId="14" borderId="16" applyNumberFormat="0" applyAlignment="0" applyProtection="0"/>
    <xf numFmtId="0" fontId="34" fillId="15" borderId="17" applyNumberFormat="0" applyAlignment="0" applyProtection="0"/>
    <xf numFmtId="0" fontId="35" fillId="15" borderId="16" applyNumberFormat="0" applyAlignment="0" applyProtection="0"/>
    <xf numFmtId="0" fontId="36" fillId="0" borderId="18" applyNumberFormat="0" applyFill="0" applyAlignment="0" applyProtection="0"/>
    <xf numFmtId="0" fontId="37" fillId="16" borderId="19" applyNumberFormat="0" applyAlignment="0" applyProtection="0"/>
    <xf numFmtId="0" fontId="38" fillId="0" borderId="0" applyNumberFormat="0" applyFill="0" applyBorder="0" applyAlignment="0" applyProtection="0"/>
    <xf numFmtId="0" fontId="25" fillId="17" borderId="20" applyNumberFormat="0" applyFont="0" applyAlignment="0" applyProtection="0"/>
    <xf numFmtId="0" fontId="39" fillId="0" borderId="0" applyNumberFormat="0" applyFill="0" applyBorder="0" applyAlignment="0" applyProtection="0"/>
    <xf numFmtId="0" fontId="40" fillId="0" borderId="21" applyNumberFormat="0" applyFill="0" applyAlignment="0" applyProtection="0"/>
    <xf numFmtId="0" fontId="4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1" fillId="37" borderId="0" applyNumberFormat="0" applyBorder="0" applyAlignment="0" applyProtection="0"/>
    <xf numFmtId="0" fontId="4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41" fillId="41" borderId="0" applyNumberFormat="0" applyBorder="0" applyAlignment="0" applyProtection="0"/>
    <xf numFmtId="174" fontId="14" fillId="0" borderId="10">
      <alignment horizontal="center"/>
      <protection locked="0"/>
    </xf>
    <xf numFmtId="0" fontId="42" fillId="42" borderId="0" applyNumberFormat="0" applyProtection="0">
      <alignment horizontal="left"/>
    </xf>
    <xf numFmtId="0" fontId="42" fillId="42" borderId="0" applyNumberFormat="0" applyProtection="0">
      <alignment horizontal="left"/>
    </xf>
    <xf numFmtId="177" fontId="18" fillId="0" borderId="0" applyFont="0" applyFill="0" applyBorder="0" applyAlignment="0" applyProtection="0"/>
    <xf numFmtId="168" fontId="25" fillId="0" borderId="0" applyFont="0" applyFill="0" applyBorder="0" applyAlignment="0" applyProtection="0"/>
    <xf numFmtId="183" fontId="45" fillId="43" borderId="25"/>
    <xf numFmtId="176" fontId="5" fillId="7" borderId="0" applyFont="0" applyFill="0" applyBorder="0" applyProtection="0">
      <alignment horizontal="center" vertical="center"/>
    </xf>
    <xf numFmtId="184" fontId="4" fillId="45" borderId="2">
      <alignment horizontal="center"/>
    </xf>
    <xf numFmtId="185" fontId="4" fillId="45" borderId="2">
      <alignment horizontal="center"/>
    </xf>
    <xf numFmtId="0" fontId="56" fillId="47" borderId="12" applyNumberFormat="0" applyProtection="0">
      <alignment vertical="center"/>
    </xf>
    <xf numFmtId="186" fontId="56" fillId="47" borderId="12" applyNumberFormat="0">
      <alignment vertical="center"/>
      <protection locked="0"/>
    </xf>
    <xf numFmtId="0" fontId="5" fillId="2" borderId="2" applyNumberFormat="0" applyProtection="0">
      <alignment vertical="center"/>
    </xf>
    <xf numFmtId="0" fontId="58" fillId="0" borderId="0" applyNumberFormat="0" applyFill="0" applyBorder="0" applyAlignment="0" applyProtection="0">
      <alignment vertical="center"/>
    </xf>
    <xf numFmtId="0" fontId="25" fillId="0" borderId="0"/>
    <xf numFmtId="0" fontId="66" fillId="0" borderId="0" applyNumberFormat="0" applyProtection="0"/>
    <xf numFmtId="9" fontId="72" fillId="0" borderId="0" applyFont="0" applyFill="0" applyBorder="0" applyAlignment="0" applyProtection="0"/>
    <xf numFmtId="0" fontId="25" fillId="0" borderId="0"/>
    <xf numFmtId="0" fontId="58" fillId="0" borderId="0" applyNumberFormat="0" applyFill="0" applyBorder="0" applyAlignment="0" applyProtection="0"/>
  </cellStyleXfs>
  <cellXfs count="236">
    <xf numFmtId="0" fontId="0" fillId="0" borderId="0" xfId="0">
      <alignment vertical="center"/>
    </xf>
    <xf numFmtId="176" fontId="9" fillId="2" borderId="2" xfId="82" applyFont="1" applyFill="1" applyBorder="1">
      <alignment horizontal="center" vertical="center"/>
    </xf>
    <xf numFmtId="0" fontId="2" fillId="0" borderId="1" xfId="1">
      <alignment vertical="center"/>
    </xf>
    <xf numFmtId="0" fontId="47" fillId="0" borderId="0" xfId="2">
      <alignment vertical="center"/>
    </xf>
    <xf numFmtId="0" fontId="3" fillId="0" borderId="0" xfId="3">
      <alignment vertical="center"/>
    </xf>
    <xf numFmtId="0" fontId="0" fillId="0" borderId="0" xfId="0" applyAlignment="1">
      <alignment horizontal="right"/>
    </xf>
    <xf numFmtId="0" fontId="4" fillId="2" borderId="2" xfId="4" applyAlignment="1">
      <alignment horizontal="right"/>
    </xf>
    <xf numFmtId="168" fontId="4" fillId="2" borderId="2" xfId="4" applyNumberFormat="1" applyAlignment="1">
      <alignment horizontal="right"/>
    </xf>
    <xf numFmtId="0" fontId="5" fillId="2" borderId="2" xfId="5">
      <alignment vertical="center"/>
    </xf>
    <xf numFmtId="0" fontId="6" fillId="0" borderId="0" xfId="6">
      <alignment vertical="center"/>
    </xf>
    <xf numFmtId="0" fontId="7" fillId="0" borderId="0" xfId="7"/>
    <xf numFmtId="0" fontId="0" fillId="0" borderId="3" xfId="8" applyFont="1"/>
    <xf numFmtId="0" fontId="8" fillId="44" borderId="4" xfId="9">
      <alignment horizontal="centerContinuous" vertical="center" wrapText="1"/>
    </xf>
    <xf numFmtId="0" fontId="0" fillId="0" borderId="5" xfId="10" applyFont="1"/>
    <xf numFmtId="0" fontId="0" fillId="0" borderId="6" xfId="11" applyFont="1"/>
    <xf numFmtId="0" fontId="0" fillId="0" borderId="7" xfId="12" applyFont="1"/>
    <xf numFmtId="0" fontId="5" fillId="0" borderId="2" xfId="13"/>
    <xf numFmtId="173" fontId="0" fillId="0" borderId="0" xfId="14" applyFont="1"/>
    <xf numFmtId="0" fontId="9" fillId="2" borderId="2" xfId="15">
      <alignment vertical="center"/>
    </xf>
    <xf numFmtId="0" fontId="0" fillId="3" borderId="2" xfId="16" applyFont="1"/>
    <xf numFmtId="0" fontId="4" fillId="2" borderId="2" xfId="4"/>
    <xf numFmtId="0" fontId="0" fillId="4" borderId="2" xfId="17" applyFont="1"/>
    <xf numFmtId="169" fontId="10" fillId="5" borderId="8" xfId="18"/>
    <xf numFmtId="0" fontId="21" fillId="9" borderId="12" xfId="20">
      <alignment horizontal="center"/>
    </xf>
    <xf numFmtId="0" fontId="5" fillId="0" borderId="0" xfId="0" applyFont="1">
      <alignment vertical="center"/>
    </xf>
    <xf numFmtId="0" fontId="11" fillId="0" borderId="0" xfId="6" applyFont="1">
      <alignment vertical="center"/>
    </xf>
    <xf numFmtId="0" fontId="4" fillId="2" borderId="2" xfId="4" applyAlignment="1">
      <alignment horizontal="center"/>
    </xf>
    <xf numFmtId="2" fontId="4" fillId="2" borderId="2" xfId="4" applyNumberFormat="1" applyAlignment="1">
      <alignment horizontal="center"/>
    </xf>
    <xf numFmtId="2" fontId="12" fillId="2" borderId="2" xfId="4" applyNumberFormat="1" applyFont="1" applyAlignment="1">
      <alignment horizontal="center"/>
    </xf>
    <xf numFmtId="169" fontId="10" fillId="6" borderId="9" xfId="18" applyFill="1" applyBorder="1"/>
    <xf numFmtId="169" fontId="10" fillId="6" borderId="8" xfId="18" applyFill="1"/>
    <xf numFmtId="170" fontId="50" fillId="0" borderId="2" xfId="19">
      <alignment horizontal="center" vertical="center"/>
    </xf>
    <xf numFmtId="0" fontId="13" fillId="0" borderId="0" xfId="0" applyFont="1" applyAlignment="1">
      <alignment horizontal="center" vertical="center"/>
    </xf>
    <xf numFmtId="0" fontId="0" fillId="0" borderId="0" xfId="0" quotePrefix="1" applyAlignment="1">
      <alignment horizontal="center"/>
    </xf>
    <xf numFmtId="0" fontId="0" fillId="0" borderId="0" xfId="0" applyAlignment="1">
      <alignment horizontal="center"/>
    </xf>
    <xf numFmtId="0" fontId="15" fillId="0" borderId="0" xfId="22">
      <alignment vertical="center"/>
    </xf>
    <xf numFmtId="0" fontId="17" fillId="3" borderId="11" xfId="23" applyFont="1" applyAlignment="1">
      <alignment horizontal="center" vertical="center"/>
    </xf>
    <xf numFmtId="0" fontId="18" fillId="7" borderId="0" xfId="0" applyFont="1" applyFill="1">
      <alignment vertical="center"/>
    </xf>
    <xf numFmtId="0" fontId="2" fillId="0" borderId="1" xfId="1" applyAlignment="1">
      <alignment horizontal="left"/>
    </xf>
    <xf numFmtId="0" fontId="18" fillId="0" borderId="0" xfId="0" applyFont="1">
      <alignment vertical="center"/>
    </xf>
    <xf numFmtId="0" fontId="19" fillId="44" borderId="0" xfId="24">
      <alignment vertical="center"/>
    </xf>
    <xf numFmtId="0" fontId="22" fillId="44" borderId="0" xfId="25">
      <alignment vertical="center"/>
    </xf>
    <xf numFmtId="0" fontId="20" fillId="44" borderId="0" xfId="26"/>
    <xf numFmtId="0" fontId="21" fillId="8" borderId="12" xfId="27">
      <alignment horizontal="center"/>
    </xf>
    <xf numFmtId="0" fontId="21" fillId="10" borderId="12" xfId="28">
      <alignment horizontal="center"/>
    </xf>
    <xf numFmtId="171" fontId="50" fillId="0" borderId="2" xfId="29">
      <alignment horizontal="center" vertical="center"/>
    </xf>
    <xf numFmtId="0" fontId="0" fillId="7" borderId="0" xfId="0" applyFill="1">
      <alignment vertical="center"/>
    </xf>
    <xf numFmtId="0" fontId="0" fillId="7" borderId="0" xfId="0" quotePrefix="1" applyFill="1">
      <alignment vertical="center"/>
    </xf>
    <xf numFmtId="168" fontId="0" fillId="0" borderId="0" xfId="0" applyNumberFormat="1">
      <alignment vertical="center"/>
    </xf>
    <xf numFmtId="168" fontId="9" fillId="2" borderId="2" xfId="15" applyNumberFormat="1">
      <alignment vertical="center"/>
    </xf>
    <xf numFmtId="168" fontId="5" fillId="2" borderId="2" xfId="5" applyNumberFormat="1">
      <alignment vertical="center"/>
    </xf>
    <xf numFmtId="178" fontId="6" fillId="0" borderId="0" xfId="6" applyNumberFormat="1" applyAlignment="1">
      <alignment horizontal="left"/>
    </xf>
    <xf numFmtId="182" fontId="18" fillId="7" borderId="22" xfId="0" applyNumberFormat="1" applyFont="1" applyFill="1" applyBorder="1">
      <alignment vertical="center"/>
    </xf>
    <xf numFmtId="168" fontId="0" fillId="0" borderId="0" xfId="80" applyFont="1"/>
    <xf numFmtId="168" fontId="0" fillId="7" borderId="0" xfId="0" applyNumberFormat="1" applyFill="1">
      <alignment vertical="center"/>
    </xf>
    <xf numFmtId="177" fontId="0" fillId="0" borderId="0" xfId="79" applyFont="1"/>
    <xf numFmtId="183" fontId="45" fillId="43" borderId="25" xfId="81"/>
    <xf numFmtId="176" fontId="5" fillId="7" borderId="0" xfId="82">
      <alignment horizontal="center" vertical="center"/>
    </xf>
    <xf numFmtId="173" fontId="8" fillId="44" borderId="4" xfId="9" applyNumberFormat="1">
      <alignment horizontal="centerContinuous" vertical="center" wrapText="1"/>
    </xf>
    <xf numFmtId="184" fontId="4" fillId="45" borderId="2" xfId="83">
      <alignment horizontal="center"/>
    </xf>
    <xf numFmtId="185" fontId="4" fillId="45" borderId="2" xfId="84">
      <alignment horizontal="center"/>
    </xf>
    <xf numFmtId="0" fontId="4" fillId="2" borderId="2" xfId="4" applyAlignment="1">
      <alignment horizontal="center" vertical="center"/>
    </xf>
    <xf numFmtId="168" fontId="5" fillId="0" borderId="2" xfId="13" applyNumberFormat="1" applyAlignment="1">
      <alignment vertical="center"/>
    </xf>
    <xf numFmtId="178" fontId="6" fillId="0" borderId="0" xfId="6" applyNumberFormat="1" applyAlignment="1">
      <alignment horizontal="left" vertical="center"/>
    </xf>
    <xf numFmtId="0" fontId="0" fillId="0" borderId="0" xfId="0" applyAlignment="1">
      <alignment horizontal="center" vertical="center"/>
    </xf>
    <xf numFmtId="168" fontId="0" fillId="0" borderId="0" xfId="80" applyFont="1" applyAlignment="1">
      <alignment vertical="center"/>
    </xf>
    <xf numFmtId="0" fontId="56" fillId="47" borderId="12" xfId="85" applyAlignment="1" applyProtection="1">
      <alignment horizontal="center" vertical="center"/>
      <protection locked="0"/>
    </xf>
    <xf numFmtId="0" fontId="53" fillId="0" borderId="0" xfId="0" applyFont="1">
      <alignment vertical="center"/>
    </xf>
    <xf numFmtId="0" fontId="5" fillId="0" borderId="2" xfId="13" applyAlignment="1">
      <alignment vertical="center"/>
    </xf>
    <xf numFmtId="0" fontId="56" fillId="47" borderId="12" xfId="85" applyProtection="1">
      <alignment vertical="center"/>
      <protection locked="0"/>
    </xf>
    <xf numFmtId="0" fontId="6" fillId="0" borderId="0" xfId="6" applyAlignment="1">
      <alignment horizontal="center" vertical="center"/>
    </xf>
    <xf numFmtId="168" fontId="56" fillId="47" borderId="12" xfId="85" applyNumberFormat="1" applyProtection="1">
      <alignment vertical="center"/>
      <protection locked="0"/>
    </xf>
    <xf numFmtId="0" fontId="5" fillId="0" borderId="2" xfId="13" applyAlignment="1">
      <alignment horizontal="center" vertical="center"/>
    </xf>
    <xf numFmtId="168" fontId="4" fillId="2" borderId="2" xfId="4" applyNumberFormat="1" applyAlignment="1">
      <alignment horizontal="left" vertical="center"/>
    </xf>
    <xf numFmtId="0" fontId="0" fillId="0" borderId="0" xfId="0" applyAlignment="1">
      <alignment horizontal="left" vertical="center" indent="1"/>
    </xf>
    <xf numFmtId="0" fontId="3" fillId="7" borderId="0" xfId="3" applyFill="1">
      <alignment vertical="center"/>
    </xf>
    <xf numFmtId="180" fontId="56" fillId="47" borderId="12" xfId="85" applyNumberFormat="1" applyAlignment="1" applyProtection="1">
      <alignment horizontal="center" vertical="center"/>
      <protection locked="0"/>
    </xf>
    <xf numFmtId="0" fontId="56" fillId="47" borderId="27" xfId="85" applyBorder="1">
      <alignment vertical="center"/>
    </xf>
    <xf numFmtId="181" fontId="56" fillId="47" borderId="12" xfId="85" applyNumberFormat="1" applyAlignment="1" applyProtection="1">
      <alignment horizontal="center" vertical="center"/>
      <protection locked="0"/>
    </xf>
    <xf numFmtId="172" fontId="14" fillId="0" borderId="10" xfId="21">
      <alignment horizontal="center"/>
    </xf>
    <xf numFmtId="174" fontId="14" fillId="0" borderId="10" xfId="76" applyProtection="1">
      <alignment horizontal="center"/>
    </xf>
    <xf numFmtId="0" fontId="15" fillId="7" borderId="0" xfId="22" applyFill="1" applyAlignment="1">
      <alignment horizontal="left" vertical="center" indent="1"/>
    </xf>
    <xf numFmtId="0" fontId="0" fillId="0" borderId="0" xfId="0" applyAlignment="1"/>
    <xf numFmtId="0" fontId="5" fillId="0" borderId="2" xfId="13" applyAlignment="1">
      <alignment horizontal="center"/>
    </xf>
    <xf numFmtId="168" fontId="18" fillId="7" borderId="0" xfId="80" applyFont="1" applyFill="1" applyAlignment="1">
      <alignment vertical="center"/>
    </xf>
    <xf numFmtId="0" fontId="44" fillId="7" borderId="0" xfId="0" applyFont="1" applyFill="1" applyAlignment="1">
      <alignment horizontal="left" vertical="center"/>
    </xf>
    <xf numFmtId="0" fontId="5" fillId="0" borderId="0" xfId="0" applyFont="1" applyAlignment="1">
      <alignment horizontal="left" vertical="center" indent="1"/>
    </xf>
    <xf numFmtId="0" fontId="8" fillId="44" borderId="28" xfId="9" applyBorder="1">
      <alignment horizontal="centerContinuous" vertical="center" wrapText="1"/>
    </xf>
    <xf numFmtId="0" fontId="0" fillId="4" borderId="2" xfId="17" applyFont="1" applyAlignment="1">
      <alignment vertical="center"/>
    </xf>
    <xf numFmtId="181" fontId="56" fillId="47" borderId="12" xfId="86" applyNumberFormat="1" applyAlignment="1">
      <alignment horizontal="center" vertical="center"/>
      <protection locked="0"/>
    </xf>
    <xf numFmtId="0" fontId="23" fillId="0" borderId="0" xfId="0" applyFont="1">
      <alignment vertical="center"/>
    </xf>
    <xf numFmtId="187" fontId="9" fillId="2" borderId="2" xfId="15" applyNumberFormat="1" applyAlignment="1">
      <alignment horizontal="center" vertical="center"/>
    </xf>
    <xf numFmtId="179" fontId="9" fillId="2" borderId="2" xfId="15" applyNumberFormat="1">
      <alignment vertical="center"/>
    </xf>
    <xf numFmtId="175" fontId="5" fillId="0" borderId="2" xfId="13" applyNumberFormat="1" applyAlignment="1">
      <alignment vertical="center"/>
    </xf>
    <xf numFmtId="0" fontId="5" fillId="46" borderId="23" xfId="13" applyFill="1" applyBorder="1" applyAlignment="1">
      <alignment vertical="center"/>
    </xf>
    <xf numFmtId="0" fontId="5" fillId="46" borderId="6" xfId="13" applyFill="1" applyBorder="1" applyAlignment="1">
      <alignment vertical="center"/>
    </xf>
    <xf numFmtId="0" fontId="5" fillId="46" borderId="24" xfId="13" applyFill="1" applyBorder="1" applyAlignment="1">
      <alignment vertical="center"/>
    </xf>
    <xf numFmtId="0" fontId="0" fillId="7" borderId="0" xfId="0" applyFill="1" applyAlignment="1">
      <alignment horizontal="center" vertical="center"/>
    </xf>
    <xf numFmtId="0" fontId="0" fillId="0" borderId="0" xfId="0" applyAlignment="1">
      <alignment horizontal="right" vertical="center" indent="1"/>
    </xf>
    <xf numFmtId="0" fontId="8" fillId="44" borderId="41" xfId="9" applyBorder="1">
      <alignment horizontal="centerContinuous" vertical="center" wrapText="1"/>
    </xf>
    <xf numFmtId="0" fontId="56" fillId="47" borderId="26" xfId="85" applyBorder="1" applyAlignment="1" applyProtection="1">
      <alignment horizontal="left" vertical="center" indent="1"/>
      <protection locked="0"/>
    </xf>
    <xf numFmtId="0" fontId="15" fillId="0" borderId="40" xfId="22" applyBorder="1">
      <alignment vertical="center"/>
    </xf>
    <xf numFmtId="0" fontId="56" fillId="47" borderId="12" xfId="86" applyNumberFormat="1" applyAlignment="1">
      <alignment horizontal="center" vertical="center"/>
      <protection locked="0"/>
    </xf>
    <xf numFmtId="14" fontId="56" fillId="47" borderId="12" xfId="86" applyNumberFormat="1" applyAlignment="1">
      <alignment horizontal="center" vertical="center"/>
      <protection locked="0"/>
    </xf>
    <xf numFmtId="187" fontId="5" fillId="0" borderId="42" xfId="13" applyNumberFormat="1" applyBorder="1" applyAlignment="1">
      <alignment horizontal="center" vertical="center"/>
    </xf>
    <xf numFmtId="0" fontId="16" fillId="0" borderId="0" xfId="0" applyFont="1" applyAlignment="1">
      <alignment horizontal="left" vertical="center" indent="1"/>
    </xf>
    <xf numFmtId="168" fontId="18" fillId="7" borderId="41" xfId="80" applyFont="1" applyFill="1" applyBorder="1" applyAlignment="1">
      <alignment vertical="center"/>
    </xf>
    <xf numFmtId="168" fontId="18" fillId="7" borderId="7" xfId="12" applyNumberFormat="1" applyFont="1" applyFill="1" applyAlignment="1">
      <alignment vertical="center"/>
    </xf>
    <xf numFmtId="179" fontId="4" fillId="2" borderId="2" xfId="4" applyNumberFormat="1" applyAlignment="1">
      <alignment vertical="center"/>
    </xf>
    <xf numFmtId="168" fontId="4" fillId="2" borderId="2" xfId="4" applyNumberFormat="1" applyAlignment="1">
      <alignment vertical="center"/>
    </xf>
    <xf numFmtId="168" fontId="18" fillId="7" borderId="0" xfId="0" applyNumberFormat="1" applyFont="1" applyFill="1">
      <alignment vertical="center"/>
    </xf>
    <xf numFmtId="189" fontId="0" fillId="7" borderId="0" xfId="0" applyNumberFormat="1" applyFill="1">
      <alignment vertical="center"/>
    </xf>
    <xf numFmtId="0" fontId="0" fillId="7" borderId="0" xfId="0" quotePrefix="1" applyFill="1" applyAlignment="1">
      <alignment horizontal="center" vertical="center"/>
    </xf>
    <xf numFmtId="168" fontId="18" fillId="7" borderId="3" xfId="8" applyNumberFormat="1" applyFont="1" applyFill="1" applyAlignment="1">
      <alignment vertical="center"/>
    </xf>
    <xf numFmtId="183" fontId="18" fillId="7" borderId="0" xfId="0" applyNumberFormat="1" applyFont="1" applyFill="1">
      <alignment vertical="center"/>
    </xf>
    <xf numFmtId="183" fontId="18" fillId="7" borderId="41" xfId="80" applyNumberFormat="1" applyFont="1" applyFill="1" applyBorder="1" applyAlignment="1">
      <alignment vertical="center"/>
    </xf>
    <xf numFmtId="190" fontId="0" fillId="7" borderId="0" xfId="0" applyNumberFormat="1" applyFill="1">
      <alignment vertical="center"/>
    </xf>
    <xf numFmtId="168" fontId="18" fillId="7" borderId="0" xfId="0" applyNumberFormat="1" applyFont="1" applyFill="1" applyAlignment="1">
      <alignment horizontal="right" vertical="center"/>
    </xf>
    <xf numFmtId="0" fontId="6" fillId="0" borderId="0" xfId="6" applyAlignment="1">
      <alignment horizontal="left" vertical="center" indent="1"/>
    </xf>
    <xf numFmtId="1" fontId="0" fillId="7" borderId="42" xfId="0" applyNumberFormat="1" applyFill="1" applyBorder="1" applyAlignment="1">
      <alignment horizontal="center" vertical="center"/>
    </xf>
    <xf numFmtId="189" fontId="0" fillId="7" borderId="0" xfId="0" applyNumberFormat="1" applyFill="1" applyAlignment="1">
      <alignment horizontal="center" vertical="center"/>
    </xf>
    <xf numFmtId="0" fontId="0" fillId="7" borderId="0" xfId="0" quotePrefix="1" applyFill="1" applyAlignment="1">
      <alignment horizontal="right" vertical="center"/>
    </xf>
    <xf numFmtId="0" fontId="5" fillId="0" borderId="0" xfId="0" applyFont="1" applyAlignment="1">
      <alignment horizontal="left" vertical="center" indent="2"/>
    </xf>
    <xf numFmtId="179" fontId="18" fillId="7" borderId="41" xfId="79" applyNumberFormat="1" applyFont="1" applyFill="1" applyBorder="1" applyAlignment="1">
      <alignment vertical="center"/>
    </xf>
    <xf numFmtId="0" fontId="0" fillId="0" borderId="0" xfId="0" quotePrefix="1" applyAlignment="1">
      <alignment horizontal="center" vertical="center"/>
    </xf>
    <xf numFmtId="191" fontId="17" fillId="0" borderId="0" xfId="0" applyNumberFormat="1" applyFont="1">
      <alignment vertical="center"/>
    </xf>
    <xf numFmtId="192" fontId="57" fillId="0" borderId="0" xfId="0" applyNumberFormat="1" applyFont="1">
      <alignment vertical="center"/>
    </xf>
    <xf numFmtId="192" fontId="17" fillId="0" borderId="0" xfId="0" applyNumberFormat="1" applyFont="1">
      <alignment vertical="center"/>
    </xf>
    <xf numFmtId="0" fontId="16" fillId="0" borderId="0" xfId="0" applyFont="1" applyAlignment="1">
      <alignment horizontal="left" vertical="center"/>
    </xf>
    <xf numFmtId="0" fontId="8" fillId="44" borderId="43" xfId="9" applyBorder="1">
      <alignment horizontal="centerContinuous" vertical="center" wrapText="1"/>
    </xf>
    <xf numFmtId="0" fontId="0" fillId="0" borderId="6" xfId="0" applyBorder="1">
      <alignment vertical="center"/>
    </xf>
    <xf numFmtId="0" fontId="0" fillId="0" borderId="24" xfId="0" applyBorder="1">
      <alignment vertical="center"/>
    </xf>
    <xf numFmtId="193" fontId="56" fillId="47" borderId="12" xfId="86" applyNumberFormat="1" applyAlignment="1">
      <alignment horizontal="center" vertical="center"/>
      <protection locked="0"/>
    </xf>
    <xf numFmtId="176" fontId="56" fillId="47" borderId="12" xfId="85" applyNumberFormat="1" applyAlignment="1" applyProtection="1">
      <alignment horizontal="center" vertical="center"/>
      <protection locked="0"/>
    </xf>
    <xf numFmtId="183" fontId="56" fillId="47" borderId="12" xfId="85" applyNumberFormat="1" applyProtection="1">
      <alignment vertical="center"/>
      <protection locked="0"/>
    </xf>
    <xf numFmtId="0" fontId="47" fillId="7" borderId="0" xfId="2" applyFill="1">
      <alignment vertical="center"/>
    </xf>
    <xf numFmtId="0" fontId="2" fillId="0" borderId="40" xfId="1" applyBorder="1">
      <alignment vertical="center"/>
    </xf>
    <xf numFmtId="0" fontId="2" fillId="0" borderId="0" xfId="1" applyBorder="1">
      <alignment vertical="center"/>
    </xf>
    <xf numFmtId="0" fontId="47" fillId="0" borderId="0" xfId="2" applyBorder="1">
      <alignment vertical="center"/>
    </xf>
    <xf numFmtId="0" fontId="2" fillId="7" borderId="40" xfId="1" applyFill="1" applyBorder="1">
      <alignment vertical="center"/>
    </xf>
    <xf numFmtId="193" fontId="9" fillId="2" borderId="2" xfId="15" applyNumberFormat="1" applyAlignment="1">
      <alignment horizontal="center" vertical="center"/>
    </xf>
    <xf numFmtId="179" fontId="23" fillId="0" borderId="0" xfId="79" applyNumberFormat="1" applyFont="1" applyAlignment="1">
      <alignment vertical="center"/>
    </xf>
    <xf numFmtId="183" fontId="9" fillId="2" borderId="2" xfId="15" applyNumberFormat="1">
      <alignment vertical="center"/>
    </xf>
    <xf numFmtId="0" fontId="18" fillId="0" borderId="0" xfId="0" applyFont="1" applyAlignment="1">
      <alignment horizontal="left" vertical="center" indent="1"/>
    </xf>
    <xf numFmtId="175" fontId="56" fillId="47" borderId="12" xfId="86" applyNumberFormat="1">
      <alignment vertical="center"/>
      <protection locked="0"/>
    </xf>
    <xf numFmtId="14" fontId="0" fillId="0" borderId="0" xfId="0" applyNumberFormat="1">
      <alignment vertical="center"/>
    </xf>
    <xf numFmtId="188" fontId="25" fillId="49" borderId="0" xfId="90" applyNumberFormat="1" applyFont="1" applyFill="1" applyAlignment="1">
      <alignment horizontal="center" vertical="center"/>
    </xf>
    <xf numFmtId="0" fontId="6" fillId="0" borderId="0" xfId="6" applyAlignment="1">
      <alignment horizontal="right" vertical="center"/>
    </xf>
    <xf numFmtId="194" fontId="5" fillId="0" borderId="2" xfId="13" applyNumberFormat="1" applyAlignment="1">
      <alignment horizontal="center" vertical="center"/>
    </xf>
    <xf numFmtId="189" fontId="8" fillId="44" borderId="41" xfId="9" applyNumberFormat="1" applyBorder="1">
      <alignment horizontal="centerContinuous" vertical="center" wrapText="1"/>
    </xf>
    <xf numFmtId="168" fontId="0" fillId="7" borderId="7" xfId="12" applyNumberFormat="1" applyFont="1" applyFill="1" applyAlignment="1">
      <alignment vertical="center"/>
    </xf>
    <xf numFmtId="168" fontId="0" fillId="0" borderId="0" xfId="0" applyNumberFormat="1" applyAlignment="1"/>
    <xf numFmtId="0" fontId="67" fillId="0" borderId="0" xfId="0" applyFont="1" applyAlignment="1"/>
    <xf numFmtId="167" fontId="18" fillId="7" borderId="0" xfId="80" applyNumberFormat="1" applyFont="1" applyFill="1" applyAlignment="1">
      <alignment vertical="center"/>
    </xf>
    <xf numFmtId="0" fontId="68" fillId="0" borderId="0" xfId="0" applyFont="1" applyAlignment="1">
      <alignment horizontal="left" vertical="center" indent="1"/>
    </xf>
    <xf numFmtId="0" fontId="21" fillId="0" borderId="7" xfId="12" applyFont="1" applyAlignment="1">
      <alignment vertical="center"/>
    </xf>
    <xf numFmtId="0" fontId="69" fillId="0" borderId="7" xfId="12" applyFont="1" applyAlignment="1">
      <alignment vertical="center"/>
    </xf>
    <xf numFmtId="168" fontId="70" fillId="7" borderId="7" xfId="12" applyNumberFormat="1" applyFont="1" applyFill="1" applyAlignment="1">
      <alignment vertical="center"/>
    </xf>
    <xf numFmtId="167" fontId="5" fillId="0" borderId="2" xfId="13" applyNumberFormat="1" applyAlignment="1">
      <alignment vertical="center"/>
    </xf>
    <xf numFmtId="179" fontId="71" fillId="0" borderId="0" xfId="79" applyNumberFormat="1" applyFont="1" applyAlignment="1">
      <alignment vertical="center"/>
    </xf>
    <xf numFmtId="179" fontId="56" fillId="47" borderId="12" xfId="86" applyNumberFormat="1">
      <alignment vertical="center"/>
      <protection locked="0"/>
    </xf>
    <xf numFmtId="195" fontId="9" fillId="2" borderId="2" xfId="15" applyNumberFormat="1">
      <alignment vertical="center"/>
    </xf>
    <xf numFmtId="0" fontId="21" fillId="0" borderId="0" xfId="0" applyFont="1" applyAlignment="1">
      <alignment horizontal="center" vertical="center"/>
    </xf>
    <xf numFmtId="10" fontId="9" fillId="2" borderId="2" xfId="15" applyNumberFormat="1">
      <alignment vertical="center"/>
    </xf>
    <xf numFmtId="196" fontId="14" fillId="0" borderId="10" xfId="21" applyNumberFormat="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47" fillId="0" borderId="0" xfId="2" applyFill="1" applyBorder="1">
      <alignment vertical="center"/>
    </xf>
    <xf numFmtId="0" fontId="3" fillId="0" borderId="0" xfId="3" applyFill="1" applyAlignment="1">
      <alignment horizontal="center" vertical="center"/>
    </xf>
    <xf numFmtId="168" fontId="70" fillId="46" borderId="7" xfId="12" applyNumberFormat="1" applyFont="1" applyFill="1" applyAlignment="1">
      <alignment vertical="center"/>
    </xf>
    <xf numFmtId="168" fontId="21" fillId="0" borderId="7" xfId="12" applyNumberFormat="1" applyFont="1" applyAlignment="1">
      <alignment vertical="center"/>
    </xf>
    <xf numFmtId="175" fontId="68" fillId="3" borderId="42" xfId="91" applyNumberFormat="1" applyFont="1" applyFill="1" applyBorder="1" applyAlignment="1">
      <alignment vertical="center"/>
    </xf>
    <xf numFmtId="0" fontId="3" fillId="0" borderId="0" xfId="3" applyFill="1">
      <alignment vertical="center"/>
    </xf>
    <xf numFmtId="186" fontId="56" fillId="47" borderId="26" xfId="86" applyBorder="1" applyAlignment="1" applyProtection="1">
      <alignment horizontal="centerContinuous" vertical="center"/>
    </xf>
    <xf numFmtId="186" fontId="56" fillId="47" borderId="27" xfId="86" applyBorder="1" applyAlignment="1" applyProtection="1">
      <alignment horizontal="centerContinuous" vertical="center"/>
    </xf>
    <xf numFmtId="0" fontId="3" fillId="0" borderId="0" xfId="3" applyAlignment="1">
      <alignment horizontal="right" vertical="center"/>
    </xf>
    <xf numFmtId="0" fontId="18" fillId="0" borderId="0" xfId="0" applyFont="1" applyAlignment="1">
      <alignment horizontal="left" vertical="center" indent="2"/>
    </xf>
    <xf numFmtId="0" fontId="47" fillId="7" borderId="0" xfId="2" applyFill="1" applyAlignment="1">
      <alignment horizontal="right" vertical="center"/>
    </xf>
    <xf numFmtId="197" fontId="18" fillId="0" borderId="0" xfId="0" quotePrefix="1" applyNumberFormat="1" applyFont="1">
      <alignment vertical="center"/>
    </xf>
    <xf numFmtId="198" fontId="8" fillId="44" borderId="41" xfId="9" applyNumberFormat="1" applyBorder="1">
      <alignment horizontal="centerContinuous" vertical="center" wrapText="1"/>
    </xf>
    <xf numFmtId="0" fontId="58" fillId="0" borderId="0" xfId="88" applyAlignment="1">
      <alignment horizontal="left" vertical="center" indent="1"/>
    </xf>
    <xf numFmtId="0" fontId="23" fillId="0" borderId="0" xfId="0" applyFont="1" applyAlignment="1">
      <alignment horizontal="left" vertical="center" indent="1"/>
    </xf>
    <xf numFmtId="0" fontId="0" fillId="0" borderId="0" xfId="0" quotePrefix="1">
      <alignment vertical="center"/>
    </xf>
    <xf numFmtId="0" fontId="5" fillId="0" borderId="0" xfId="0" applyFont="1" applyAlignment="1"/>
    <xf numFmtId="0" fontId="5" fillId="0" borderId="0" xfId="0" applyFont="1" applyAlignment="1">
      <alignment horizontal="left" indent="1"/>
    </xf>
    <xf numFmtId="0" fontId="47" fillId="0" borderId="0" xfId="2" applyAlignment="1">
      <alignment horizontal="right" vertical="center"/>
    </xf>
    <xf numFmtId="0" fontId="21" fillId="0" borderId="0" xfId="0" applyFont="1">
      <alignment vertical="center"/>
    </xf>
    <xf numFmtId="183" fontId="5" fillId="0" borderId="2" xfId="13" applyNumberFormat="1" applyAlignment="1">
      <alignment vertical="center"/>
    </xf>
    <xf numFmtId="189" fontId="0" fillId="0" borderId="0" xfId="0" applyNumberFormat="1">
      <alignment vertical="center"/>
    </xf>
    <xf numFmtId="10" fontId="0" fillId="0" borderId="0" xfId="0" applyNumberFormat="1">
      <alignment vertical="center"/>
    </xf>
    <xf numFmtId="0" fontId="0" fillId="0" borderId="0" xfId="0" quotePrefix="1" applyAlignment="1">
      <alignment horizontal="right" vertical="center"/>
    </xf>
    <xf numFmtId="168" fontId="0" fillId="0" borderId="0" xfId="80" applyFont="1" applyFill="1" applyAlignment="1">
      <alignment vertical="center"/>
    </xf>
    <xf numFmtId="189" fontId="0" fillId="0" borderId="0" xfId="0" applyNumberFormat="1" applyAlignment="1"/>
    <xf numFmtId="167" fontId="4" fillId="2" borderId="2" xfId="4" applyNumberFormat="1" applyAlignment="1">
      <alignment vertical="center"/>
    </xf>
    <xf numFmtId="0" fontId="25" fillId="0" borderId="0" xfId="92" applyAlignment="1">
      <alignment vertical="center"/>
    </xf>
    <xf numFmtId="0" fontId="25" fillId="50" borderId="0" xfId="92" applyFill="1"/>
    <xf numFmtId="0" fontId="25" fillId="50" borderId="0" xfId="92" applyFill="1" applyAlignment="1">
      <alignment vertical="top" wrapText="1"/>
    </xf>
    <xf numFmtId="0" fontId="73" fillId="50" borderId="0" xfId="92" applyFont="1" applyFill="1" applyAlignment="1">
      <alignment horizontal="center" vertical="top" wrapText="1"/>
    </xf>
    <xf numFmtId="0" fontId="74" fillId="50" borderId="0" xfId="92" applyFont="1" applyFill="1" applyAlignment="1">
      <alignment horizontal="center" vertical="top" wrapText="1"/>
    </xf>
    <xf numFmtId="0" fontId="25" fillId="50" borderId="0" xfId="92" applyFill="1" applyAlignment="1">
      <alignment vertical="center"/>
    </xf>
    <xf numFmtId="0" fontId="58" fillId="50" borderId="0" xfId="88" applyFill="1" applyAlignment="1">
      <alignment vertical="top" wrapText="1"/>
    </xf>
    <xf numFmtId="0" fontId="75" fillId="50" borderId="0" xfId="92" quotePrefix="1" applyFont="1" applyFill="1" applyAlignment="1">
      <alignment vertical="center"/>
    </xf>
    <xf numFmtId="0" fontId="75" fillId="50" borderId="0" xfId="92" applyFont="1" applyFill="1" applyAlignment="1">
      <alignment horizontal="right" vertical="center"/>
    </xf>
    <xf numFmtId="0" fontId="76" fillId="0" borderId="0" xfId="92" applyFont="1" applyAlignment="1">
      <alignment vertical="center"/>
    </xf>
    <xf numFmtId="0" fontId="25" fillId="7" borderId="0" xfId="92" applyFill="1" applyAlignment="1">
      <alignment vertical="center"/>
    </xf>
    <xf numFmtId="0" fontId="77" fillId="7" borderId="0" xfId="93" applyFont="1" applyFill="1" applyAlignment="1">
      <alignment horizontal="center" vertical="center"/>
    </xf>
    <xf numFmtId="0" fontId="62" fillId="7" borderId="0" xfId="92" applyFont="1" applyFill="1" applyAlignment="1">
      <alignment horizontal="center" vertical="center"/>
    </xf>
    <xf numFmtId="0" fontId="78" fillId="7" borderId="0" xfId="92" applyFont="1" applyFill="1" applyAlignment="1">
      <alignment horizontal="center" vertical="center"/>
    </xf>
    <xf numFmtId="0" fontId="25" fillId="0" borderId="0" xfId="89"/>
    <xf numFmtId="0" fontId="25" fillId="48" borderId="0" xfId="89" applyFill="1"/>
    <xf numFmtId="0" fontId="25" fillId="7" borderId="39" xfId="89" applyFill="1" applyBorder="1"/>
    <xf numFmtId="0" fontId="25" fillId="7" borderId="38" xfId="89" applyFill="1" applyBorder="1"/>
    <xf numFmtId="0" fontId="25" fillId="7" borderId="37" xfId="89" applyFill="1" applyBorder="1"/>
    <xf numFmtId="0" fontId="25" fillId="7" borderId="33" xfId="89" applyFill="1" applyBorder="1"/>
    <xf numFmtId="0" fontId="79" fillId="0" borderId="0" xfId="89" applyFont="1" applyAlignment="1">
      <alignment horizontal="right"/>
    </xf>
    <xf numFmtId="0" fontId="80" fillId="0" borderId="0" xfId="89" applyFont="1"/>
    <xf numFmtId="0" fontId="25" fillId="7" borderId="32" xfId="89" applyFill="1" applyBorder="1"/>
    <xf numFmtId="0" fontId="64" fillId="0" borderId="0" xfId="93" applyFont="1" applyBorder="1" applyAlignment="1">
      <alignment vertical="center"/>
    </xf>
    <xf numFmtId="0" fontId="25" fillId="44" borderId="36" xfId="89" applyFill="1" applyBorder="1" applyAlignment="1">
      <alignment vertical="center"/>
    </xf>
    <xf numFmtId="0" fontId="25" fillId="44" borderId="35" xfId="89" applyFill="1" applyBorder="1" applyAlignment="1">
      <alignment vertical="center"/>
    </xf>
    <xf numFmtId="0" fontId="63" fillId="44" borderId="35" xfId="89" applyFont="1" applyFill="1" applyBorder="1" applyAlignment="1">
      <alignment vertical="center"/>
    </xf>
    <xf numFmtId="0" fontId="25" fillId="44" borderId="34" xfId="89" applyFill="1" applyBorder="1" applyAlignment="1">
      <alignment vertical="center"/>
    </xf>
    <xf numFmtId="0" fontId="40" fillId="44" borderId="35" xfId="89" applyFont="1" applyFill="1" applyBorder="1" applyAlignment="1">
      <alignment vertical="center"/>
    </xf>
    <xf numFmtId="0" fontId="79" fillId="0" borderId="0" xfId="89" applyFont="1"/>
    <xf numFmtId="0" fontId="61" fillId="7" borderId="0" xfId="89" applyFont="1" applyFill="1"/>
    <xf numFmtId="0" fontId="25" fillId="7" borderId="0" xfId="89" applyFill="1"/>
    <xf numFmtId="0" fontId="81" fillId="7" borderId="0" xfId="89" applyFont="1" applyFill="1"/>
    <xf numFmtId="0" fontId="25" fillId="44" borderId="36" xfId="89" applyFill="1" applyBorder="1"/>
    <xf numFmtId="0" fontId="25" fillId="44" borderId="35" xfId="89" applyFill="1" applyBorder="1"/>
    <xf numFmtId="0" fontId="25" fillId="44" borderId="34" xfId="89" applyFill="1" applyBorder="1"/>
    <xf numFmtId="0" fontId="61" fillId="0" borderId="0" xfId="89" applyFont="1"/>
    <xf numFmtId="0" fontId="60" fillId="7" borderId="0" xfId="89" applyFont="1" applyFill="1"/>
    <xf numFmtId="0" fontId="59" fillId="7" borderId="0" xfId="89" applyFont="1" applyFill="1"/>
    <xf numFmtId="0" fontId="25" fillId="7" borderId="31" xfId="89" applyFill="1" applyBorder="1"/>
    <xf numFmtId="0" fontId="25" fillId="7" borderId="30" xfId="89" applyFill="1" applyBorder="1"/>
    <xf numFmtId="0" fontId="25" fillId="7" borderId="29" xfId="89" applyFill="1" applyBorder="1"/>
  </cellXfs>
  <cellStyles count="94">
    <cellStyle name="20 % - Akzent1" xfId="53" builtinId="30" hidden="1"/>
    <cellStyle name="20 % - Akzent2" xfId="57" builtinId="34" hidden="1"/>
    <cellStyle name="20 % - Akzent3" xfId="61" builtinId="38" hidden="1"/>
    <cellStyle name="20 % - Akzent4" xfId="65" builtinId="42" hidden="1"/>
    <cellStyle name="20 % - Akzent5" xfId="69" builtinId="46" hidden="1"/>
    <cellStyle name="20 % - Akzent6" xfId="73" builtinId="50" hidden="1"/>
    <cellStyle name="40 % - Akzent1" xfId="54" builtinId="31" hidden="1"/>
    <cellStyle name="40 % - Akzent2" xfId="58" builtinId="35" hidden="1"/>
    <cellStyle name="40 % - Akzent3" xfId="62" builtinId="39" hidden="1"/>
    <cellStyle name="40 % - Akzent4" xfId="66" builtinId="43" hidden="1"/>
    <cellStyle name="40 % - Akzent5" xfId="70" builtinId="47" hidden="1"/>
    <cellStyle name="40 % - Akzent6" xfId="74" builtinId="51" hidden="1"/>
    <cellStyle name="60 % - Akzent1" xfId="55" builtinId="32" hidden="1"/>
    <cellStyle name="60 % - Akzent2" xfId="59" builtinId="36" hidden="1"/>
    <cellStyle name="60 % - Akzent3" xfId="63" builtinId="40" hidden="1"/>
    <cellStyle name="60 % - Akzent4" xfId="67" builtinId="44" hidden="1"/>
    <cellStyle name="60 % - Akzent5" xfId="71" builtinId="48" hidden="1"/>
    <cellStyle name="60 % - Akzent6" xfId="75" builtinId="52" hidden="1"/>
    <cellStyle name="Akzent1" xfId="52" builtinId="29" hidden="1"/>
    <cellStyle name="Akzent2" xfId="56" builtinId="33" hidden="1"/>
    <cellStyle name="Akzent3" xfId="60" builtinId="37" hidden="1"/>
    <cellStyle name="Akzent4" xfId="64" builtinId="41" hidden="1"/>
    <cellStyle name="Akzent5" xfId="68" builtinId="45" hidden="1"/>
    <cellStyle name="Akzent6" xfId="72" builtinId="49" hidden="1"/>
    <cellStyle name="Annahme" xfId="85" xr:uid="{00000000-0005-0000-0000-000018000000}"/>
    <cellStyle name="Annahme_perm" xfId="86" xr:uid="{00000000-0005-0000-0000-000019000000}"/>
    <cellStyle name="Ausgabe" xfId="44" builtinId="21" hidden="1"/>
    <cellStyle name="Berechnung" xfId="45" builtinId="22" hidden="1"/>
    <cellStyle name="Bezeichnung_Eingabe" xfId="16" xr:uid="{00000000-0005-0000-0000-00001C000000}"/>
    <cellStyle name="Blatt_1" xfId="24" xr:uid="{00000000-0005-0000-0000-00001D000000}"/>
    <cellStyle name="Blatt_2" xfId="25" xr:uid="{00000000-0005-0000-0000-00001E000000}"/>
    <cellStyle name="Blatt_3" xfId="26" xr:uid="{00000000-0005-0000-0000-00001F000000}"/>
    <cellStyle name="Datum" xfId="82" xr:uid="{00000000-0005-0000-0000-000020000000}"/>
    <cellStyle name="Dezimal [0]" xfId="31" builtinId="6" hidden="1"/>
    <cellStyle name="Eingabe" xfId="43" builtinId="20" hidden="1"/>
    <cellStyle name="Einheit" xfId="6" xr:uid="{00000000-0005-0000-0000-000024000000}"/>
    <cellStyle name="Ergebnis" xfId="51" builtinId="25" hidden="1"/>
    <cellStyle name="Erklärender Text" xfId="50" builtinId="53" hidden="1"/>
    <cellStyle name="Ext_Link" xfId="81" xr:uid="{00000000-0005-0000-0000-000027000000}"/>
    <cellStyle name="Flag" xfId="18" xr:uid="{00000000-0005-0000-0000-000028000000}"/>
    <cellStyle name="Gut" xfId="40" builtinId="26" hidden="1"/>
    <cellStyle name="Hinw_DEU" xfId="83" xr:uid="{00000000-0005-0000-0000-00002A000000}"/>
    <cellStyle name="Hinw_ENG" xfId="84" xr:uid="{00000000-0005-0000-0000-00002B000000}"/>
    <cellStyle name="Hyperlink-Text" xfId="22" xr:uid="{00000000-0005-0000-0000-00002F000000}"/>
    <cellStyle name="Komma" xfId="30" builtinId="3" hidden="1"/>
    <cellStyle name="Kommentar" xfId="23" xr:uid="{00000000-0005-0000-0000-000032000000}"/>
    <cellStyle name="Kontrolle_DEU" xfId="29" xr:uid="{00000000-0005-0000-0000-000033000000}"/>
    <cellStyle name="Kontrolle_ENG" xfId="19" xr:uid="{00000000-0005-0000-0000-000034000000}"/>
    <cellStyle name="Leere_Zelle" xfId="17" xr:uid="{00000000-0005-0000-0000-000035000000}"/>
    <cellStyle name="Line_Summary" xfId="87" xr:uid="{00000000-0005-0000-0000-000036000000}"/>
    <cellStyle name="Link" xfId="77" builtinId="8" hidden="1"/>
    <cellStyle name="Link" xfId="78" builtinId="8" hidden="1"/>
    <cellStyle name="Link" xfId="88" builtinId="8"/>
    <cellStyle name="Link 2" xfId="93" xr:uid="{A752F8F0-90E2-43FB-9CFD-B3ECC4C92AAD}"/>
    <cellStyle name="Neutral" xfId="42" builtinId="28" hidden="1"/>
    <cellStyle name="Notiz" xfId="49" builtinId="10" hidden="1"/>
    <cellStyle name="Prozent" xfId="34" builtinId="5" hidden="1"/>
    <cellStyle name="Prozent" xfId="91" builtinId="5"/>
    <cellStyle name="Quotient" xfId="14" xr:uid="{00000000-0005-0000-0000-00003B000000}"/>
    <cellStyle name="Referenz_InSheet" xfId="13" xr:uid="{00000000-0005-0000-0000-00003C000000}"/>
    <cellStyle name="Referenz_OffSheet" xfId="15" xr:uid="{00000000-0005-0000-0000-00003D000000}"/>
    <cellStyle name="Schalter_DEU" xfId="21" xr:uid="{00000000-0005-0000-0000-00003E000000}"/>
    <cellStyle name="Schalter_ENG" xfId="76" xr:uid="{00000000-0005-0000-0000-00003F000000}"/>
    <cellStyle name="Schlecht" xfId="41" builtinId="27" hidden="1"/>
    <cellStyle name="Standard" xfId="0" builtinId="0" customBuiltin="1"/>
    <cellStyle name="Standard 2" xfId="89" xr:uid="{9ABF10AE-A81B-424B-A6E0-9C1018E49944}"/>
    <cellStyle name="Standard 3" xfId="92" xr:uid="{119EF6AA-9DAC-4C07-A4EA-97749378C5B1}"/>
    <cellStyle name="Status_in_Arbeit" xfId="20" xr:uid="{00000000-0005-0000-0000-000042000000}"/>
    <cellStyle name="Status_in_Ordnung" xfId="27" xr:uid="{00000000-0005-0000-0000-000043000000}"/>
    <cellStyle name="Status_Pruefen" xfId="28" xr:uid="{00000000-0005-0000-0000-000044000000}"/>
    <cellStyle name="Tabellen_Ueb" xfId="9" xr:uid="{00000000-0005-0000-0000-000045000000}"/>
    <cellStyle name="Techn_Eingabe" xfId="4" xr:uid="{00000000-0005-0000-0000-000046000000}"/>
    <cellStyle name="Überschrift" xfId="35" builtinId="15" hidden="1"/>
    <cellStyle name="Überschrift 1" xfId="36" builtinId="16" hidden="1"/>
    <cellStyle name="Überschrift 2" xfId="37" builtinId="17" hidden="1"/>
    <cellStyle name="Überschrift 3" xfId="38" builtinId="18" hidden="1"/>
    <cellStyle name="Überschrift 4" xfId="39" builtinId="19" hidden="1"/>
    <cellStyle name="Ueb1" xfId="1" xr:uid="{00000000-0005-0000-0000-00004C000000}"/>
    <cellStyle name="Ueb2" xfId="2" xr:uid="{00000000-0005-0000-0000-00004D000000}"/>
    <cellStyle name="Ueb3" xfId="3" xr:uid="{00000000-0005-0000-0000-00004E000000}"/>
    <cellStyle name="Ueb4" xfId="7" xr:uid="{00000000-0005-0000-0000-00004F000000}"/>
    <cellStyle name="Unit" xfId="90" xr:uid="{42D47F9D-3AFC-4157-ACAB-6228AB157795}"/>
    <cellStyle name="Verknüpfte Zelle" xfId="46" builtinId="24" hidden="1"/>
    <cellStyle name="Währung" xfId="32" builtinId="4" hidden="1"/>
    <cellStyle name="Währung [0]" xfId="33" builtinId="7" hidden="1"/>
    <cellStyle name="Warnender Text" xfId="48" builtinId="11" hidden="1"/>
    <cellStyle name="Zahl_Prozent" xfId="79" xr:uid="{00000000-0005-0000-0000-000054000000}"/>
    <cellStyle name="Zahl_Standard" xfId="80" xr:uid="{00000000-0005-0000-0000-000055000000}"/>
    <cellStyle name="Zeile_Abgrenzung" xfId="8" xr:uid="{00000000-0005-0000-0000-000056000000}"/>
    <cellStyle name="Zeile_Schlussbilanz" xfId="12" xr:uid="{00000000-0005-0000-0000-000057000000}"/>
    <cellStyle name="Zeile_Spalten-Summe" xfId="5" xr:uid="{00000000-0005-0000-0000-000058000000}"/>
    <cellStyle name="Zeile_Summe" xfId="11" xr:uid="{00000000-0005-0000-0000-000059000000}"/>
    <cellStyle name="Zeile_Zw-summe" xfId="10" xr:uid="{00000000-0005-0000-0000-00005A000000}"/>
    <cellStyle name="Zelle überprüfen" xfId="47" builtinId="23" hidden="1"/>
  </cellStyles>
  <dxfs count="14">
    <dxf>
      <font>
        <condense val="0"/>
        <extend val="0"/>
        <color indexed="10"/>
      </font>
    </dxf>
    <dxf>
      <fill>
        <patternFill>
          <bgColor indexed="44"/>
        </patternFill>
      </fill>
      <border>
        <top/>
        <bottom/>
      </border>
    </dxf>
    <dxf>
      <font>
        <b val="0"/>
        <i val="0"/>
        <condense val="0"/>
        <extend val="0"/>
        <color auto="1"/>
      </font>
      <fill>
        <patternFill>
          <bgColor indexed="43"/>
        </patternFill>
      </fill>
      <border>
        <top/>
        <bottom style="thin">
          <color indexed="34"/>
        </bottom>
      </border>
    </dxf>
    <dxf>
      <font>
        <color theme="5"/>
      </font>
      <fill>
        <patternFill>
          <bgColor theme="5"/>
        </patternFill>
      </fill>
      <border>
        <left style="thin">
          <color theme="5" tint="-0.24994659260841701"/>
        </left>
        <right style="thin">
          <color theme="5" tint="-0.24994659260841701"/>
        </right>
        <top style="thin">
          <color theme="5" tint="-0.24994659260841701"/>
        </top>
        <bottom style="thin">
          <color theme="5" tint="-0.24994659260841701"/>
        </bottom>
      </border>
    </dxf>
    <dxf>
      <font>
        <b/>
        <i val="0"/>
        <condense val="0"/>
        <extend val="0"/>
        <color indexed="10"/>
      </font>
      <fill>
        <patternFill patternType="solid">
          <fgColor indexed="14"/>
          <bgColor theme="0" tint="-0.14996795556505021"/>
        </patternFill>
      </fill>
      <border>
        <left style="thin">
          <color indexed="10"/>
        </left>
        <right style="thin">
          <color indexed="10"/>
        </right>
        <top style="thin">
          <color indexed="10"/>
        </top>
        <bottom style="thin">
          <color indexed="10"/>
        </bottom>
      </border>
    </dxf>
    <dxf>
      <font>
        <b/>
        <i val="0"/>
        <color rgb="FFDC1414"/>
      </font>
      <fill>
        <patternFill>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
      <font>
        <condense val="0"/>
        <extend val="0"/>
        <color indexed="22"/>
      </font>
      <fill>
        <patternFill patternType="lightDown">
          <fgColor rgb="FFFF0000"/>
          <bgColor indexed="65"/>
        </patternFill>
      </fill>
      <border>
        <left style="thin">
          <color indexed="23"/>
        </left>
        <right style="thin">
          <color indexed="23"/>
        </right>
        <top style="thin">
          <color indexed="23"/>
        </top>
        <bottom style="thin">
          <color indexed="23"/>
        </bottom>
      </border>
    </dxf>
    <dxf>
      <font>
        <condense val="0"/>
        <extend val="0"/>
        <color indexed="42"/>
      </font>
      <fill>
        <patternFill patternType="lightUp">
          <fgColor indexed="22"/>
          <bgColor indexed="42"/>
        </patternFill>
      </fill>
      <border>
        <left style="thin">
          <color indexed="55"/>
        </left>
        <right style="thin">
          <color indexed="55"/>
        </right>
        <top style="thin">
          <color indexed="55"/>
        </top>
        <bottom style="thin">
          <color indexed="55"/>
        </bottom>
      </border>
    </dxf>
    <dxf>
      <fill>
        <patternFill patternType="lightUp">
          <fgColor theme="4" tint="-0.24994659260841701"/>
          <bgColor indexed="44"/>
        </patternFill>
      </fill>
      <border>
        <left style="thin">
          <color indexed="55"/>
        </left>
        <right style="thin">
          <color indexed="55"/>
        </right>
        <top style="thin">
          <color indexed="55"/>
        </top>
        <bottom style="thin">
          <color indexed="55"/>
        </bottom>
      </border>
    </dxf>
    <dxf>
      <fill>
        <patternFill patternType="lightUp">
          <fgColor indexed="55"/>
          <bgColor indexed="13"/>
        </patternFill>
      </fill>
      <border>
        <left style="thin">
          <color indexed="55"/>
        </left>
        <right style="thin">
          <color indexed="55"/>
        </right>
        <top style="thin">
          <color indexed="55"/>
        </top>
        <bottom style="thin">
          <color indexed="55"/>
        </bottom>
      </border>
    </dxf>
    <dxf>
      <font>
        <b/>
        <i val="0"/>
        <condense val="0"/>
        <extend val="0"/>
        <color indexed="10"/>
      </font>
      <fill>
        <patternFill patternType="solid">
          <fgColor indexed="14"/>
          <bgColor theme="0" tint="-0.14996795556505021"/>
        </patternFill>
      </fill>
      <border>
        <left style="thin">
          <color indexed="10"/>
        </left>
        <right style="thin">
          <color indexed="10"/>
        </right>
        <top style="thin">
          <color indexed="10"/>
        </top>
        <bottom style="thin">
          <color indexed="10"/>
        </bottom>
      </border>
    </dxf>
    <dxf>
      <font>
        <b/>
        <i val="0"/>
        <condense val="0"/>
        <extend val="0"/>
        <color indexed="10"/>
      </font>
      <fill>
        <patternFill patternType="solid">
          <fgColor indexed="14"/>
          <bgColor theme="0" tint="-0.14996795556505021"/>
        </patternFill>
      </fill>
      <border>
        <left style="thin">
          <color indexed="10"/>
        </left>
        <right style="thin">
          <color indexed="10"/>
        </right>
        <top style="thin">
          <color indexed="10"/>
        </top>
        <bottom style="thin">
          <color indexed="10"/>
        </bottom>
      </border>
    </dxf>
    <dxf>
      <font>
        <b/>
        <i val="0"/>
        <color rgb="FFDC1414"/>
      </font>
      <fill>
        <patternFill>
          <bgColor rgb="FFFEDAD6"/>
        </patternFill>
      </fill>
      <border>
        <left style="thin">
          <color rgb="FFDC1414"/>
        </left>
        <right style="thin">
          <color rgb="FFDC1414"/>
        </right>
        <top style="thin">
          <color rgb="FFDC1414"/>
        </top>
        <bottom style="thin">
          <color rgb="FFDC1414"/>
        </bottom>
        <vertical/>
        <horizontal/>
      </border>
    </dxf>
  </dxfs>
  <tableStyles count="0" defaultTableStyle="TableStyleMedium2" defaultPivotStyle="PivotStyleLight16"/>
  <colors>
    <mruColors>
      <color rgb="FFFFFFCC"/>
      <color rgb="FFFFFFE6"/>
      <color rgb="FF0074BC"/>
      <color rgb="FFF89F56"/>
      <color rgb="FF25346A"/>
      <color rgb="FFDDDDDD"/>
      <color rgb="FFBEE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fimovi.de"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s://fimovi.de/" TargetMode="External"/><Relationship Id="rId2" Type="http://schemas.openxmlformats.org/officeDocument/2006/relationships/hyperlink" Target="#Annahmen!A1"/><Relationship Id="rId1" Type="http://schemas.openxmlformats.org/officeDocument/2006/relationships/hyperlink" Target="https://fimovi.onfastspring.com/EFT-Immobilien" TargetMode="External"/><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hyperlink" Target="https://fimovi.de/" TargetMode="External"/><Relationship Id="rId2" Type="http://schemas.openxmlformats.org/officeDocument/2006/relationships/hyperlink" Target="#Annahmen!A1"/><Relationship Id="rId1" Type="http://schemas.openxmlformats.org/officeDocument/2006/relationships/hyperlink" Target="https://myablefy.com/s/Fimovi/AfA-Rechner_Immobilien" TargetMode="External"/><Relationship Id="rId5" Type="http://schemas.openxmlformats.org/officeDocument/2006/relationships/image" Target="../media/image5.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0</xdr:colOff>
      <xdr:row>16</xdr:row>
      <xdr:rowOff>0</xdr:rowOff>
    </xdr:from>
    <xdr:to>
      <xdr:col>12</xdr:col>
      <xdr:colOff>0</xdr:colOff>
      <xdr:row>38</xdr:row>
      <xdr:rowOff>0</xdr:rowOff>
    </xdr:to>
    <xdr:sp macro="" textlink="">
      <xdr:nvSpPr>
        <xdr:cNvPr id="2" name="TextBox 4">
          <a:extLst>
            <a:ext uri="{FF2B5EF4-FFF2-40B4-BE49-F238E27FC236}">
              <a16:creationId xmlns:a16="http://schemas.microsoft.com/office/drawing/2014/main" id="{0E8C69FF-C686-407D-9972-8BA18CD0CE12}"/>
            </a:ext>
          </a:extLst>
        </xdr:cNvPr>
        <xdr:cNvSpPr txBox="1"/>
      </xdr:nvSpPr>
      <xdr:spPr>
        <a:xfrm>
          <a:off x="390525" y="2590800"/>
          <a:ext cx="7620000" cy="3562350"/>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AU" sz="2000" i="1">
              <a:solidFill>
                <a:schemeClr val="tx1">
                  <a:lumMod val="75000"/>
                  <a:lumOff val="25000"/>
                </a:schemeClr>
              </a:solidFill>
              <a:latin typeface="+mn-lt"/>
              <a:cs typeface="Arial" pitchFamily="34" charset="0"/>
            </a:rPr>
            <a:t>Bitte vor Nutzung dieser </a:t>
          </a:r>
          <a:r>
            <a:rPr lang="en-AU" sz="2000" i="1" baseline="0">
              <a:solidFill>
                <a:schemeClr val="tx1">
                  <a:lumMod val="75000"/>
                  <a:lumOff val="25000"/>
                </a:schemeClr>
              </a:solidFill>
              <a:latin typeface="+mn-lt"/>
              <a:cs typeface="Arial" pitchFamily="34" charset="0"/>
            </a:rPr>
            <a:t>Tutorial-Datei lesen</a:t>
          </a:r>
        </a:p>
        <a:p>
          <a:endParaRPr lang="en-AU" sz="1100" baseline="0">
            <a:solidFill>
              <a:schemeClr val="tx1">
                <a:lumMod val="75000"/>
                <a:lumOff val="25000"/>
              </a:schemeClr>
            </a:solidFill>
            <a:latin typeface="+mn-lt"/>
            <a:cs typeface="Arial" pitchFamily="34" charset="0"/>
          </a:endParaRPr>
        </a:p>
        <a:p>
          <a:r>
            <a:rPr lang="en-AU" sz="1100" b="1" baseline="0">
              <a:solidFill>
                <a:srgbClr val="313D72"/>
              </a:solidFill>
              <a:latin typeface="+mn-lt"/>
              <a:cs typeface="Arial" pitchFamily="34" charset="0"/>
            </a:rPr>
            <a:t>Inhalt</a:t>
          </a:r>
        </a:p>
        <a:p>
          <a:r>
            <a:rPr lang="en-AU" sz="1100" baseline="0">
              <a:solidFill>
                <a:schemeClr val="tx1">
                  <a:lumMod val="75000"/>
                  <a:lumOff val="25000"/>
                </a:schemeClr>
              </a:solidFill>
              <a:latin typeface="+mn-lt"/>
              <a:cs typeface="Arial" pitchFamily="34" charset="0"/>
            </a:rPr>
            <a:t>Dieses Tutorial wurde von der Fimovi GmbH für Schulungszwecke erstellt. Die Inhalte dieser Datei wurden mit größter Sorgfalt zusammengestellt. Dennoch können für die Richtigkeit und Vollständigkeit keine Gewähr übernommen werden. Die Ergebnisse in dieser Tutorial-Datei basieren im wesentlichen auf den Eingabedaten dieser Datei. Diese sind so angelegt, dass sie von Anwendern leicht verändert werden können.</a:t>
          </a:r>
        </a:p>
        <a:p>
          <a:endParaRPr lang="en-AU" sz="1100" baseline="0">
            <a:solidFill>
              <a:schemeClr val="tx1">
                <a:lumMod val="75000"/>
                <a:lumOff val="25000"/>
              </a:schemeClr>
            </a:solidFill>
            <a:latin typeface="+mn-lt"/>
            <a:cs typeface="Arial" pitchFamily="34" charset="0"/>
          </a:endParaRPr>
        </a:p>
        <a:p>
          <a:r>
            <a:rPr lang="en-AU" sz="1100" b="1" baseline="0">
              <a:solidFill>
                <a:srgbClr val="313D72"/>
              </a:solidFill>
              <a:latin typeface="+mn-lt"/>
              <a:cs typeface="Arial" pitchFamily="34" charset="0"/>
            </a:rPr>
            <a:t>Haftungsausschluss</a:t>
          </a:r>
        </a:p>
        <a:p>
          <a:r>
            <a:rPr lang="en-AU" sz="1100" baseline="0">
              <a:solidFill>
                <a:schemeClr val="tx1">
                  <a:lumMod val="75000"/>
                  <a:lumOff val="25000"/>
                </a:schemeClr>
              </a:solidFill>
              <a:latin typeface="+mn-lt"/>
              <a:cs typeface="Arial" pitchFamily="34" charset="0"/>
            </a:rPr>
            <a:t>Die Fimvi GmbH übernimmt keine Gewähr oder Haftung für die Plausibilität oder Richtigkeit dieser Eingabedaten und keine Gewähr oder Haftung für die Richtigkeit der aus diesen Eingabedaten resultierenden Ergebnisse. Auch haftet die Fimovi GmbH nicht für Schäden, die einem Anwender im Vertrauen auf die Richtigkeit der Ergebnisse dieser Berechnungen entstehen. Eine Nutzung dieser Datei erfolgt auf eigenes Risiko. </a:t>
          </a:r>
        </a:p>
        <a:p>
          <a:endParaRPr lang="en-AU" sz="1100" baseline="0">
            <a:solidFill>
              <a:schemeClr val="tx1">
                <a:lumMod val="75000"/>
                <a:lumOff val="25000"/>
              </a:schemeClr>
            </a:solidFill>
            <a:latin typeface="+mn-lt"/>
            <a:cs typeface="Arial" pitchFamily="34" charset="0"/>
          </a:endParaRPr>
        </a:p>
        <a:p>
          <a:r>
            <a:rPr lang="en-AU" sz="1100" b="1" baseline="0">
              <a:solidFill>
                <a:srgbClr val="313D72"/>
              </a:solidFill>
              <a:latin typeface="+mn-lt"/>
              <a:cs typeface="Arial" pitchFamily="34" charset="0"/>
            </a:rPr>
            <a:t>Nutzung und Weitergabe</a:t>
          </a:r>
        </a:p>
        <a:p>
          <a:r>
            <a:rPr lang="en-AU" sz="1100" baseline="0">
              <a:solidFill>
                <a:schemeClr val="tx1">
                  <a:lumMod val="75000"/>
                  <a:lumOff val="25000"/>
                </a:schemeClr>
              </a:solidFill>
              <a:latin typeface="+mn-lt"/>
              <a:ea typeface="+mn-ea"/>
              <a:cs typeface="Arial" pitchFamily="34" charset="0"/>
            </a:rPr>
            <a:t>Dieses Tutorial wurde von www.fimovi.de kostenlos zur Verfügung gestellt und und ist urheberrechtlich geschützt. Die Datei darf weitergeben werden, solange die Copyright- und Lizenzhinweise unverändert mit weitergegeben werden. Eine kommerzielle Nutzung dieser Datei ist untersagt.</a:t>
          </a:r>
        </a:p>
      </xdr:txBody>
    </xdr:sp>
    <xdr:clientData/>
  </xdr:twoCellAnchor>
  <xdr:twoCellAnchor>
    <xdr:from>
      <xdr:col>2</xdr:col>
      <xdr:colOff>0</xdr:colOff>
      <xdr:row>40</xdr:row>
      <xdr:rowOff>0</xdr:rowOff>
    </xdr:from>
    <xdr:to>
      <xdr:col>12</xdr:col>
      <xdr:colOff>0</xdr:colOff>
      <xdr:row>55</xdr:row>
      <xdr:rowOff>0</xdr:rowOff>
    </xdr:to>
    <xdr:sp macro="" textlink="">
      <xdr:nvSpPr>
        <xdr:cNvPr id="3" name="TextBox 4">
          <a:extLst>
            <a:ext uri="{FF2B5EF4-FFF2-40B4-BE49-F238E27FC236}">
              <a16:creationId xmlns:a16="http://schemas.microsoft.com/office/drawing/2014/main" id="{A1E46C22-D797-461C-B047-9FBEF729E195}"/>
            </a:ext>
          </a:extLst>
        </xdr:cNvPr>
        <xdr:cNvSpPr txBox="1"/>
      </xdr:nvSpPr>
      <xdr:spPr>
        <a:xfrm>
          <a:off x="390525" y="6477000"/>
          <a:ext cx="7620000" cy="2428875"/>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lang="en-AU" sz="1050" b="1" baseline="0">
              <a:solidFill>
                <a:srgbClr val="313D72"/>
              </a:solidFill>
              <a:latin typeface="+mn-lt"/>
              <a:ea typeface="+mn-ea"/>
              <a:cs typeface="Arial" pitchFamily="34" charset="0"/>
            </a:rPr>
            <a:t>Profil</a:t>
          </a:r>
        </a:p>
        <a:p>
          <a:r>
            <a:rPr lang="de-DE" sz="1100">
              <a:solidFill>
                <a:schemeClr val="dk1"/>
              </a:solidFill>
              <a:effectLst/>
              <a:latin typeface="+mn-lt"/>
              <a:ea typeface="+mn-ea"/>
              <a:cs typeface="+mn-cs"/>
            </a:rPr>
            <a:t>Fimovi bietet Intensiv-Video-Workshops, in denen Schritt für Schritt die Erstellung von professionellen Projekt-finanzierungs- und Cashflow-Modellen in Excel er­läutert wird. Die praxis­orientierten Modelle sind nach aktuellen, international akzeptierten Standards aufgebaut und erlauben den Nutzern höchstmögliche Transparenz und Flexibilität sowohl hin-sichtlich der Eingaben, als auch bezüglich der Projektbeurteilung zum Beispiel im Rahmen von Investitions- oder Kreditvergabe­entschei­dungen. </a:t>
          </a:r>
          <a:endParaRPr lang="de-DE" sz="1050">
            <a:effectLst/>
          </a:endParaRPr>
        </a:p>
        <a:p>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Neben Intensiv-Video-Workshops bietet die Fimovi GmbH:</a:t>
          </a:r>
        </a:p>
        <a:p>
          <a:r>
            <a:rPr lang="de-DE" sz="1100">
              <a:solidFill>
                <a:schemeClr val="dk1"/>
              </a:solidFill>
              <a:effectLst/>
              <a:latin typeface="+mn-lt"/>
              <a:ea typeface="+mn-ea"/>
              <a:cs typeface="+mn-cs"/>
            </a:rPr>
            <a:t> 	• Vorlagen zur Erstellung</a:t>
          </a:r>
          <a:r>
            <a:rPr lang="de-DE" sz="1100" baseline="0">
              <a:solidFill>
                <a:schemeClr val="dk1"/>
              </a:solidFill>
              <a:effectLst/>
              <a:latin typeface="+mn-lt"/>
              <a:ea typeface="+mn-ea"/>
              <a:cs typeface="+mn-cs"/>
            </a:rPr>
            <a:t> verschiedener Finanzmodelle</a:t>
          </a:r>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	• Erstellung individueller Finanzmodelle</a:t>
          </a:r>
          <a:endParaRPr lang="de-DE" sz="1050">
            <a:effectLst/>
          </a:endParaRPr>
        </a:p>
        <a:p>
          <a:r>
            <a:rPr lang="de-DE" sz="1100">
              <a:solidFill>
                <a:schemeClr val="dk1"/>
              </a:solidFill>
              <a:effectLst/>
              <a:latin typeface="+mn-lt"/>
              <a:ea typeface="+mn-ea"/>
              <a:cs typeface="+mn-cs"/>
            </a:rPr>
            <a:t>	• Modellreview und -optimierung	</a:t>
          </a:r>
          <a:endParaRPr lang="de-DE" sz="1050">
            <a:effectLst/>
          </a:endParaRPr>
        </a:p>
        <a:p>
          <a:r>
            <a:rPr lang="de-DE" sz="1100">
              <a:solidFill>
                <a:schemeClr val="dk1"/>
              </a:solidFill>
              <a:effectLst/>
              <a:latin typeface="+mn-lt"/>
              <a:ea typeface="+mn-ea"/>
              <a:cs typeface="+mn-cs"/>
            </a:rPr>
            <a:t>	• Seminare im Bereich Financial Modelling und Arbeiten mit Excel</a:t>
          </a:r>
        </a:p>
        <a:p>
          <a:endParaRPr lang="de-DE"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Besuchen Sie unsere Internetseite, wo viele Informationen und kostenlose Vorlagen und Tutorials  angeboten werden.</a:t>
          </a:r>
          <a:endParaRPr lang="de-DE" sz="1050">
            <a:effectLst/>
          </a:endParaRPr>
        </a:p>
        <a:p>
          <a:endParaRPr lang="de-DE" sz="1050">
            <a:effectLst/>
          </a:endParaRPr>
        </a:p>
      </xdr:txBody>
    </xdr:sp>
    <xdr:clientData/>
  </xdr:twoCellAnchor>
  <xdr:oneCellAnchor>
    <xdr:from>
      <xdr:col>8</xdr:col>
      <xdr:colOff>134592</xdr:colOff>
      <xdr:row>1</xdr:row>
      <xdr:rowOff>94288</xdr:rowOff>
    </xdr:from>
    <xdr:ext cx="0" cy="553412"/>
    <xdr:pic>
      <xdr:nvPicPr>
        <xdr:cNvPr id="4" name="Grafik 3">
          <a:extLst>
            <a:ext uri="{FF2B5EF4-FFF2-40B4-BE49-F238E27FC236}">
              <a16:creationId xmlns:a16="http://schemas.microsoft.com/office/drawing/2014/main" id="{8E508A91-7B48-4929-86BD-E2A921B5E7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97117" y="256213"/>
          <a:ext cx="0" cy="553412"/>
        </a:xfrm>
        <a:prstGeom prst="rect">
          <a:avLst/>
        </a:prstGeom>
      </xdr:spPr>
    </xdr:pic>
    <xdr:clientData/>
  </xdr:oneCellAnchor>
  <xdr:oneCellAnchor>
    <xdr:from>
      <xdr:col>8</xdr:col>
      <xdr:colOff>54428</xdr:colOff>
      <xdr:row>2</xdr:row>
      <xdr:rowOff>195356</xdr:rowOff>
    </xdr:from>
    <xdr:ext cx="2626423" cy="713922"/>
    <xdr:pic>
      <xdr:nvPicPr>
        <xdr:cNvPr id="5" name="Grafik 4">
          <a:hlinkClick xmlns:r="http://schemas.openxmlformats.org/officeDocument/2006/relationships" r:id="rId2"/>
          <a:extLst>
            <a:ext uri="{FF2B5EF4-FFF2-40B4-BE49-F238E27FC236}">
              <a16:creationId xmlns:a16="http://schemas.microsoft.com/office/drawing/2014/main" id="{0B2D3074-B213-4889-8DCE-AB3D050C0A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016953" y="481106"/>
          <a:ext cx="2626423" cy="71392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2</xdr:col>
      <xdr:colOff>339578</xdr:colOff>
      <xdr:row>22</xdr:row>
      <xdr:rowOff>112821</xdr:rowOff>
    </xdr:from>
    <xdr:to>
      <xdr:col>3</xdr:col>
      <xdr:colOff>2814754</xdr:colOff>
      <xdr:row>35</xdr:row>
      <xdr:rowOff>93021</xdr:rowOff>
    </xdr:to>
    <xdr:grpSp>
      <xdr:nvGrpSpPr>
        <xdr:cNvPr id="15" name="Gruppieren 14">
          <a:hlinkClick xmlns:r="http://schemas.openxmlformats.org/officeDocument/2006/relationships" r:id="rId1"/>
          <a:extLst>
            <a:ext uri="{FF2B5EF4-FFF2-40B4-BE49-F238E27FC236}">
              <a16:creationId xmlns:a16="http://schemas.microsoft.com/office/drawing/2014/main" id="{077FDADB-3FDB-3232-0181-ED6BB3C8CDE6}"/>
            </a:ext>
          </a:extLst>
        </xdr:cNvPr>
        <xdr:cNvGrpSpPr/>
      </xdr:nvGrpSpPr>
      <xdr:grpSpPr>
        <a:xfrm>
          <a:off x="5408535" y="5446821"/>
          <a:ext cx="3054958" cy="3053048"/>
          <a:chOff x="5408535" y="5446821"/>
          <a:chExt cx="3054958" cy="3053048"/>
        </a:xfrm>
      </xdr:grpSpPr>
      <xdr:sp macro="" textlink="">
        <xdr:nvSpPr>
          <xdr:cNvPr id="3" name="Textfeld 2">
            <a:extLst>
              <a:ext uri="{FF2B5EF4-FFF2-40B4-BE49-F238E27FC236}">
                <a16:creationId xmlns:a16="http://schemas.microsoft.com/office/drawing/2014/main" id="{51708ACD-619B-51BF-2D55-BAB511A27EBA}"/>
              </a:ext>
            </a:extLst>
          </xdr:cNvPr>
          <xdr:cNvSpPr txBox="1"/>
        </xdr:nvSpPr>
        <xdr:spPr>
          <a:xfrm flipH="1">
            <a:off x="5408535" y="6237711"/>
            <a:ext cx="3054958" cy="1071489"/>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de-DE" sz="2800" b="1" baseline="0">
                <a:solidFill>
                  <a:srgbClr val="25346A"/>
                </a:solidFill>
                <a:latin typeface="Arial" panose="020B0604020202020204" pitchFamily="34" charset="0"/>
                <a:cs typeface="Arial" panose="020B0604020202020204" pitchFamily="34" charset="0"/>
              </a:rPr>
              <a:t>EUR 300,00</a:t>
            </a:r>
          </a:p>
          <a:p>
            <a:pPr algn="ctr"/>
            <a:r>
              <a:rPr lang="de-DE" sz="1800" b="1" baseline="0">
                <a:solidFill>
                  <a:srgbClr val="25346A"/>
                </a:solidFill>
                <a:latin typeface="Arial" panose="020B0604020202020204" pitchFamily="34" charset="0"/>
                <a:cs typeface="Arial" panose="020B0604020202020204" pitchFamily="34" charset="0"/>
              </a:rPr>
              <a:t>(zzgl. MwSt.)</a:t>
            </a:r>
            <a:endParaRPr lang="de-DE" sz="1800" b="1">
              <a:solidFill>
                <a:srgbClr val="25346A"/>
              </a:solidFill>
              <a:latin typeface="Arial" panose="020B0604020202020204" pitchFamily="34" charset="0"/>
              <a:cs typeface="Arial" panose="020B0604020202020204" pitchFamily="34" charset="0"/>
            </a:endParaRPr>
          </a:p>
        </xdr:txBody>
      </xdr:sp>
      <xdr:sp macro="" textlink="">
        <xdr:nvSpPr>
          <xdr:cNvPr id="4" name="Pfeil: nach rechts 3">
            <a:extLst>
              <a:ext uri="{FF2B5EF4-FFF2-40B4-BE49-F238E27FC236}">
                <a16:creationId xmlns:a16="http://schemas.microsoft.com/office/drawing/2014/main" id="{338C1448-1611-10B2-B120-F7E83A03E448}"/>
              </a:ext>
            </a:extLst>
          </xdr:cNvPr>
          <xdr:cNvSpPr/>
        </xdr:nvSpPr>
        <xdr:spPr>
          <a:xfrm rot="5400000">
            <a:off x="6766042" y="5545186"/>
            <a:ext cx="629257" cy="432528"/>
          </a:xfrm>
          <a:prstGeom prst="rightArrow">
            <a:avLst/>
          </a:prstGeom>
          <a:solidFill>
            <a:schemeClr val="bg1">
              <a:lumMod val="75000"/>
            </a:schemeClr>
          </a:solidFill>
        </xdr:spPr>
        <xdr:style>
          <a:lnRef idx="3">
            <a:schemeClr val="lt1"/>
          </a:lnRef>
          <a:fillRef idx="1">
            <a:schemeClr val="dk1"/>
          </a:fillRef>
          <a:effectRef idx="1">
            <a:schemeClr val="dk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solidFill>
                <a:schemeClr val="lt1"/>
              </a:solidFill>
            </a:endParaRPr>
          </a:p>
        </xdr:txBody>
      </xdr:sp>
      <xdr:grpSp>
        <xdr:nvGrpSpPr>
          <xdr:cNvPr id="5" name="Gruppieren 4">
            <a:extLst>
              <a:ext uri="{FF2B5EF4-FFF2-40B4-BE49-F238E27FC236}">
                <a16:creationId xmlns:a16="http://schemas.microsoft.com/office/drawing/2014/main" id="{3ECB7B85-8FE6-B698-B9DB-E04F620D678D}"/>
              </a:ext>
            </a:extLst>
          </xdr:cNvPr>
          <xdr:cNvGrpSpPr/>
        </xdr:nvGrpSpPr>
        <xdr:grpSpPr>
          <a:xfrm>
            <a:off x="5605435" y="7506192"/>
            <a:ext cx="2694519" cy="993677"/>
            <a:chOff x="10204082" y="16266457"/>
            <a:chExt cx="2913530" cy="941295"/>
          </a:xfrm>
        </xdr:grpSpPr>
        <xdr:sp macro="" textlink="">
          <xdr:nvSpPr>
            <xdr:cNvPr id="6" name="Rechteck: abgerundete Ecken 5">
              <a:extLst>
                <a:ext uri="{FF2B5EF4-FFF2-40B4-BE49-F238E27FC236}">
                  <a16:creationId xmlns:a16="http://schemas.microsoft.com/office/drawing/2014/main" id="{2D56306F-CA34-61BF-D142-FF2D493A32E1}"/>
                </a:ext>
              </a:extLst>
            </xdr:cNvPr>
            <xdr:cNvSpPr/>
          </xdr:nvSpPr>
          <xdr:spPr>
            <a:xfrm>
              <a:off x="10215288" y="16266457"/>
              <a:ext cx="2902324" cy="941295"/>
            </a:xfrm>
            <a:prstGeom prst="roundRect">
              <a:avLst>
                <a:gd name="adj" fmla="val 16667"/>
              </a:avLst>
            </a:prstGeom>
            <a:solidFill>
              <a:srgbClr val="25346A"/>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sp macro="" textlink="">
          <xdr:nvSpPr>
            <xdr:cNvPr id="7" name="Textfeld 6">
              <a:extLst>
                <a:ext uri="{FF2B5EF4-FFF2-40B4-BE49-F238E27FC236}">
                  <a16:creationId xmlns:a16="http://schemas.microsoft.com/office/drawing/2014/main" id="{6F99C4C7-EF33-A813-3948-DA0E3EA7EB51}"/>
                </a:ext>
              </a:extLst>
            </xdr:cNvPr>
            <xdr:cNvSpPr txBox="1"/>
          </xdr:nvSpPr>
          <xdr:spPr>
            <a:xfrm>
              <a:off x="10204082" y="16445751"/>
              <a:ext cx="2891118"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de-DE" sz="3000" b="1">
                  <a:solidFill>
                    <a:schemeClr val="bg1"/>
                  </a:solidFill>
                </a:rPr>
                <a:t>Bestellen</a:t>
              </a:r>
            </a:p>
          </xdr:txBody>
        </xdr:sp>
      </xdr:grpSp>
    </xdr:grpSp>
    <xdr:clientData/>
  </xdr:twoCellAnchor>
  <xdr:oneCellAnchor>
    <xdr:from>
      <xdr:col>1</xdr:col>
      <xdr:colOff>1355161</xdr:colOff>
      <xdr:row>2</xdr:row>
      <xdr:rowOff>109904</xdr:rowOff>
    </xdr:from>
    <xdr:ext cx="2181513" cy="288000"/>
    <xdr:sp macro="" textlink="">
      <xdr:nvSpPr>
        <xdr:cNvPr id="8" name="Rectangle: Rounded Corners 16">
          <a:hlinkClick xmlns:r="http://schemas.openxmlformats.org/officeDocument/2006/relationships" r:id="rId2" tooltip="gehe zu ..."/>
          <a:extLst>
            <a:ext uri="{FF2B5EF4-FFF2-40B4-BE49-F238E27FC236}">
              <a16:creationId xmlns:a16="http://schemas.microsoft.com/office/drawing/2014/main" id="{F27E26FA-1C01-4360-8978-CFE0D64CE024}"/>
            </a:ext>
          </a:extLst>
        </xdr:cNvPr>
        <xdr:cNvSpPr/>
      </xdr:nvSpPr>
      <xdr:spPr>
        <a:xfrm>
          <a:off x="1661618" y="441208"/>
          <a:ext cx="2181513" cy="288000"/>
        </a:xfrm>
        <a:prstGeom prst="roundRect">
          <a:avLst/>
        </a:prstGeom>
        <a:solidFill>
          <a:srgbClr val="25346A"/>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indent="0" algn="ctr"/>
          <a:r>
            <a:rPr lang="en-US" sz="1100" b="1">
              <a:solidFill>
                <a:schemeClr val="lt1"/>
              </a:solidFill>
              <a:effectLst>
                <a:outerShdw blurRad="50800" dist="38100" dir="13500000" algn="br" rotWithShape="0">
                  <a:prstClr val="black">
                    <a:alpha val="40000"/>
                  </a:prstClr>
                </a:outerShdw>
              </a:effectLst>
              <a:latin typeface="+mn-lt"/>
              <a:ea typeface="+mn-ea"/>
              <a:cs typeface="+mn-cs"/>
            </a:rPr>
            <a:t>Zurück zum Renditekalkulator</a:t>
          </a:r>
        </a:p>
      </xdr:txBody>
    </xdr:sp>
    <xdr:clientData/>
  </xdr:oneCellAnchor>
  <xdr:oneCellAnchor>
    <xdr:from>
      <xdr:col>1</xdr:col>
      <xdr:colOff>1179635</xdr:colOff>
      <xdr:row>14</xdr:row>
      <xdr:rowOff>34389</xdr:rowOff>
    </xdr:from>
    <xdr:ext cx="2305050" cy="620058"/>
    <xdr:pic>
      <xdr:nvPicPr>
        <xdr:cNvPr id="9" name="Grafik 8">
          <a:hlinkClick xmlns:r="http://schemas.openxmlformats.org/officeDocument/2006/relationships" r:id="rId3"/>
          <a:extLst>
            <a:ext uri="{FF2B5EF4-FFF2-40B4-BE49-F238E27FC236}">
              <a16:creationId xmlns:a16="http://schemas.microsoft.com/office/drawing/2014/main" id="{81183726-54A9-42FA-B7BD-A68C94D1D48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484435" y="2301339"/>
          <a:ext cx="2305050" cy="620058"/>
        </a:xfrm>
        <a:prstGeom prst="rect">
          <a:avLst/>
        </a:prstGeom>
      </xdr:spPr>
    </xdr:pic>
    <xdr:clientData/>
  </xdr:oneCellAnchor>
  <xdr:twoCellAnchor>
    <xdr:from>
      <xdr:col>1</xdr:col>
      <xdr:colOff>4505738</xdr:colOff>
      <xdr:row>2</xdr:row>
      <xdr:rowOff>0</xdr:rowOff>
    </xdr:from>
    <xdr:to>
      <xdr:col>5</xdr:col>
      <xdr:colOff>4266130</xdr:colOff>
      <xdr:row>22</xdr:row>
      <xdr:rowOff>0</xdr:rowOff>
    </xdr:to>
    <xdr:grpSp>
      <xdr:nvGrpSpPr>
        <xdr:cNvPr id="14" name="Gruppieren 13">
          <a:hlinkClick xmlns:r="http://schemas.openxmlformats.org/officeDocument/2006/relationships" r:id="rId1"/>
          <a:extLst>
            <a:ext uri="{FF2B5EF4-FFF2-40B4-BE49-F238E27FC236}">
              <a16:creationId xmlns:a16="http://schemas.microsoft.com/office/drawing/2014/main" id="{3ECDA01C-D09D-90F1-F287-DF994D3858EA}"/>
            </a:ext>
          </a:extLst>
        </xdr:cNvPr>
        <xdr:cNvGrpSpPr/>
      </xdr:nvGrpSpPr>
      <xdr:grpSpPr>
        <a:xfrm>
          <a:off x="4812195" y="331304"/>
          <a:ext cx="9417913" cy="5002696"/>
          <a:chOff x="4812195" y="331304"/>
          <a:chExt cx="9417913" cy="5002696"/>
        </a:xfrm>
      </xdr:grpSpPr>
      <xdr:sp macro="" textlink="">
        <xdr:nvSpPr>
          <xdr:cNvPr id="11" name="Rechteck 10">
            <a:extLst>
              <a:ext uri="{FF2B5EF4-FFF2-40B4-BE49-F238E27FC236}">
                <a16:creationId xmlns:a16="http://schemas.microsoft.com/office/drawing/2014/main" id="{5AD1187C-0DE5-F9A4-B59C-CF904108A43E}"/>
              </a:ext>
            </a:extLst>
          </xdr:cNvPr>
          <xdr:cNvSpPr/>
        </xdr:nvSpPr>
        <xdr:spPr>
          <a:xfrm>
            <a:off x="5068904" y="331304"/>
            <a:ext cx="4011756" cy="477778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marL="0" indent="0" algn="l"/>
            <a:endParaRPr lang="de-DE" sz="2000" b="1">
              <a:solidFill>
                <a:schemeClr val="dk1"/>
              </a:solidFill>
              <a:latin typeface="Arial" panose="020B0604020202020204" pitchFamily="34" charset="0"/>
              <a:ea typeface="+mn-ea"/>
              <a:cs typeface="Arial" panose="020B0604020202020204" pitchFamily="34" charset="0"/>
            </a:endParaRPr>
          </a:p>
        </xdr:txBody>
      </xdr:sp>
      <xdr:sp macro="" textlink="">
        <xdr:nvSpPr>
          <xdr:cNvPr id="12" name="Textfeld 11">
            <a:extLst>
              <a:ext uri="{FF2B5EF4-FFF2-40B4-BE49-F238E27FC236}">
                <a16:creationId xmlns:a16="http://schemas.microsoft.com/office/drawing/2014/main" id="{D244A947-5336-3BF9-75CC-FFD4E07F2AAE}"/>
              </a:ext>
            </a:extLst>
          </xdr:cNvPr>
          <xdr:cNvSpPr txBox="1"/>
        </xdr:nvSpPr>
        <xdr:spPr>
          <a:xfrm>
            <a:off x="9623778" y="331304"/>
            <a:ext cx="4606330" cy="5002696"/>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algn="l"/>
            <a:r>
              <a:rPr lang="de-DE" sz="1600" b="1">
                <a:latin typeface="Arial" panose="020B0604020202020204" pitchFamily="34" charset="0"/>
                <a:cs typeface="Arial" panose="020B0604020202020204" pitchFamily="34" charset="0"/>
              </a:rPr>
              <a:t>Warum EFT Immobilien </a:t>
            </a:r>
            <a:r>
              <a:rPr lang="de-DE" sz="1600" b="1" baseline="0">
                <a:latin typeface="Arial" panose="020B0604020202020204" pitchFamily="34" charset="0"/>
                <a:cs typeface="Arial" panose="020B0604020202020204" pitchFamily="34" charset="0"/>
              </a:rPr>
              <a:t>nutzen?</a:t>
            </a:r>
            <a:endParaRPr lang="de-DE" sz="1600" b="1">
              <a:latin typeface="Arial" panose="020B0604020202020204" pitchFamily="34" charset="0"/>
              <a:cs typeface="Arial" panose="020B0604020202020204" pitchFamily="34" charset="0"/>
            </a:endParaRPr>
          </a:p>
          <a:p>
            <a:pPr algn="l"/>
            <a:endParaRPr lang="de-DE" sz="1600" b="0">
              <a:latin typeface="Arial" panose="020B0604020202020204" pitchFamily="34" charset="0"/>
              <a:cs typeface="Arial" panose="020B0604020202020204" pitchFamily="34" charset="0"/>
            </a:endParaRPr>
          </a:p>
          <a:p>
            <a:pPr algn="l"/>
            <a:r>
              <a:rPr lang="de-DE" sz="1600" b="0">
                <a:latin typeface="Arial" panose="020B0604020202020204" pitchFamily="34" charset="0"/>
                <a:cs typeface="Arial" panose="020B0604020202020204" pitchFamily="34" charset="0"/>
              </a:rPr>
              <a:t>- Monatsgenaue Planung (bis 25 Jahre)</a:t>
            </a:r>
          </a:p>
          <a:p>
            <a:pPr algn="l"/>
            <a:endParaRPr lang="de-DE" sz="1600" b="0">
              <a:latin typeface="Arial" panose="020B0604020202020204" pitchFamily="34" charset="0"/>
              <a:cs typeface="Arial" panose="020B0604020202020204" pitchFamily="34" charset="0"/>
            </a:endParaRPr>
          </a:p>
          <a:p>
            <a:pPr algn="l"/>
            <a:r>
              <a:rPr lang="de-DE" sz="1600" b="0">
                <a:latin typeface="Arial" panose="020B0604020202020204" pitchFamily="34" charset="0"/>
                <a:cs typeface="Arial" panose="020B0604020202020204" pitchFamily="34" charset="0"/>
              </a:rPr>
              <a:t>- Erfassung der Bau- bzw. Herstellungskosten in</a:t>
            </a:r>
          </a:p>
          <a:p>
            <a:pPr algn="l"/>
            <a:r>
              <a:rPr lang="de-DE" sz="1600" b="0">
                <a:latin typeface="Arial" panose="020B0604020202020204" pitchFamily="34" charset="0"/>
                <a:cs typeface="Arial" panose="020B0604020202020204" pitchFamily="34" charset="0"/>
              </a:rPr>
              <a:t>   Kostengruppen</a:t>
            </a:r>
          </a:p>
          <a:p>
            <a:pPr algn="l"/>
            <a:endParaRPr lang="de-DE" sz="1600" b="0">
              <a:latin typeface="Arial" panose="020B0604020202020204" pitchFamily="34" charset="0"/>
              <a:cs typeface="Arial" panose="020B0604020202020204" pitchFamily="34" charset="0"/>
            </a:endParaRPr>
          </a:p>
          <a:p>
            <a:pPr algn="l"/>
            <a:r>
              <a:rPr lang="de-DE" sz="1600" b="0">
                <a:latin typeface="Arial" panose="020B0604020202020204" pitchFamily="34" charset="0"/>
                <a:cs typeface="Arial" panose="020B0604020202020204" pitchFamily="34" charset="0"/>
              </a:rPr>
              <a:t>- Detaillierte Erfassung und Planung der</a:t>
            </a:r>
          </a:p>
          <a:p>
            <a:pPr algn="l"/>
            <a:r>
              <a:rPr lang="de-DE" sz="1600" b="0">
                <a:latin typeface="Arial" panose="020B0604020202020204" pitchFamily="34" charset="0"/>
                <a:cs typeface="Arial" panose="020B0604020202020204" pitchFamily="34" charset="0"/>
              </a:rPr>
              <a:t>   Mieteinnahmen</a:t>
            </a:r>
          </a:p>
          <a:p>
            <a:pPr algn="l"/>
            <a:endParaRPr lang="de-DE" sz="1600" b="0">
              <a:latin typeface="Arial" panose="020B0604020202020204" pitchFamily="34" charset="0"/>
              <a:cs typeface="Arial" panose="020B0604020202020204" pitchFamily="34" charset="0"/>
            </a:endParaRPr>
          </a:p>
          <a:p>
            <a:pPr algn="l"/>
            <a:r>
              <a:rPr lang="de-DE" sz="1600" b="0">
                <a:latin typeface="Arial" panose="020B0604020202020204" pitchFamily="34" charset="0"/>
                <a:cs typeface="Arial" panose="020B0604020202020204" pitchFamily="34" charset="0"/>
              </a:rPr>
              <a:t>- Berücksichtigung von Steuern</a:t>
            </a:r>
          </a:p>
          <a:p>
            <a:pPr algn="l"/>
            <a:endParaRPr lang="de-DE" sz="1600" b="0">
              <a:latin typeface="Arial" panose="020B0604020202020204" pitchFamily="34" charset="0"/>
              <a:cs typeface="Arial" panose="020B0604020202020204" pitchFamily="34" charset="0"/>
            </a:endParaRPr>
          </a:p>
          <a:p>
            <a:pPr algn="l"/>
            <a:r>
              <a:rPr lang="de-DE" sz="1600" b="0">
                <a:latin typeface="Arial" panose="020B0604020202020204" pitchFamily="34" charset="0"/>
                <a:cs typeface="Arial" panose="020B0604020202020204" pitchFamily="34" charset="0"/>
              </a:rPr>
              <a:t>- Verschiedene Finanzierungsmöglichkeiten inkl.</a:t>
            </a:r>
          </a:p>
          <a:p>
            <a:pPr algn="l"/>
            <a:r>
              <a:rPr lang="de-DE" sz="1600" b="0">
                <a:latin typeface="Arial" panose="020B0604020202020204" pitchFamily="34" charset="0"/>
                <a:cs typeface="Arial" panose="020B0604020202020204" pitchFamily="34" charset="0"/>
              </a:rPr>
              <a:t>   Sondertilgungen, Tilgungszuschüssen etc.</a:t>
            </a:r>
          </a:p>
          <a:p>
            <a:pPr algn="l"/>
            <a:endParaRPr lang="de-DE" sz="1600" b="0">
              <a:latin typeface="Arial" panose="020B0604020202020204" pitchFamily="34" charset="0"/>
              <a:cs typeface="Arial" panose="020B0604020202020204" pitchFamily="34" charset="0"/>
            </a:endParaRPr>
          </a:p>
          <a:p>
            <a:pPr algn="l"/>
            <a:r>
              <a:rPr lang="de-DE" sz="1600" b="0">
                <a:latin typeface="Arial" panose="020B0604020202020204" pitchFamily="34" charset="0"/>
                <a:cs typeface="Arial" panose="020B0604020202020204" pitchFamily="34" charset="0"/>
              </a:rPr>
              <a:t>- Renditeberechnungen, Übersichten + Grafiken</a:t>
            </a:r>
          </a:p>
          <a:p>
            <a:pPr algn="l"/>
            <a:endParaRPr lang="de-DE" sz="1600" b="0">
              <a:latin typeface="Arial" panose="020B0604020202020204" pitchFamily="34" charset="0"/>
              <a:cs typeface="Arial" panose="020B0604020202020204" pitchFamily="34" charset="0"/>
            </a:endParaRPr>
          </a:p>
          <a:p>
            <a:pPr algn="l"/>
            <a:r>
              <a:rPr lang="de-DE" sz="1600" b="0">
                <a:latin typeface="Arial" panose="020B0604020202020204" pitchFamily="34" charset="0"/>
                <a:cs typeface="Arial" panose="020B0604020202020204" pitchFamily="34" charset="0"/>
              </a:rPr>
              <a:t>- Einmalpreis (kein Abo) =&gt; Sofortiger Download</a:t>
            </a:r>
          </a:p>
          <a:p>
            <a:pPr algn="l"/>
            <a:r>
              <a:rPr lang="de-DE" sz="1600" b="0">
                <a:latin typeface="Arial" panose="020B0604020202020204" pitchFamily="34" charset="0"/>
                <a:cs typeface="Arial" panose="020B0604020202020204" pitchFamily="34" charset="0"/>
              </a:rPr>
              <a:t>   =&gt; direkt loslegen</a:t>
            </a:r>
          </a:p>
        </xdr:txBody>
      </xdr:sp>
      <xdr:pic>
        <xdr:nvPicPr>
          <xdr:cNvPr id="13" name="Grafik 12">
            <a:extLst>
              <a:ext uri="{FF2B5EF4-FFF2-40B4-BE49-F238E27FC236}">
                <a16:creationId xmlns:a16="http://schemas.microsoft.com/office/drawing/2014/main" id="{42FED8F0-67AF-60BB-1070-FC894ACBF69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812195" y="633341"/>
            <a:ext cx="3854528" cy="4285374"/>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339578</xdr:colOff>
      <xdr:row>22</xdr:row>
      <xdr:rowOff>112821</xdr:rowOff>
    </xdr:from>
    <xdr:to>
      <xdr:col>3</xdr:col>
      <xdr:colOff>2814754</xdr:colOff>
      <xdr:row>35</xdr:row>
      <xdr:rowOff>93021</xdr:rowOff>
    </xdr:to>
    <xdr:grpSp>
      <xdr:nvGrpSpPr>
        <xdr:cNvPr id="15" name="Gruppieren 14">
          <a:hlinkClick xmlns:r="http://schemas.openxmlformats.org/officeDocument/2006/relationships" r:id="rId1"/>
          <a:extLst>
            <a:ext uri="{FF2B5EF4-FFF2-40B4-BE49-F238E27FC236}">
              <a16:creationId xmlns:a16="http://schemas.microsoft.com/office/drawing/2014/main" id="{1CE476C5-034D-E2DA-8E8B-935501DD6CBE}"/>
            </a:ext>
          </a:extLst>
        </xdr:cNvPr>
        <xdr:cNvGrpSpPr/>
      </xdr:nvGrpSpPr>
      <xdr:grpSpPr>
        <a:xfrm>
          <a:off x="5408535" y="5446821"/>
          <a:ext cx="3054958" cy="3053048"/>
          <a:chOff x="5408535" y="5446821"/>
          <a:chExt cx="3054958" cy="3053048"/>
        </a:xfrm>
      </xdr:grpSpPr>
      <xdr:sp macro="" textlink="">
        <xdr:nvSpPr>
          <xdr:cNvPr id="3" name="Textfeld 2">
            <a:extLst>
              <a:ext uri="{FF2B5EF4-FFF2-40B4-BE49-F238E27FC236}">
                <a16:creationId xmlns:a16="http://schemas.microsoft.com/office/drawing/2014/main" id="{2B8DA79A-5AA8-7F3E-1ACF-989FD72EF1F4}"/>
              </a:ext>
            </a:extLst>
          </xdr:cNvPr>
          <xdr:cNvSpPr txBox="1"/>
        </xdr:nvSpPr>
        <xdr:spPr>
          <a:xfrm flipH="1">
            <a:off x="5408535" y="6237711"/>
            <a:ext cx="3054958" cy="1071489"/>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de-DE" sz="2800" b="1" baseline="0">
                <a:solidFill>
                  <a:srgbClr val="25346A"/>
                </a:solidFill>
                <a:latin typeface="Arial" panose="020B0604020202020204" pitchFamily="34" charset="0"/>
                <a:cs typeface="Arial" panose="020B0604020202020204" pitchFamily="34" charset="0"/>
              </a:rPr>
              <a:t>EUR 50,00</a:t>
            </a:r>
          </a:p>
          <a:p>
            <a:pPr algn="ctr"/>
            <a:r>
              <a:rPr lang="de-DE" sz="1800" b="1" baseline="0">
                <a:solidFill>
                  <a:srgbClr val="25346A"/>
                </a:solidFill>
                <a:latin typeface="Arial" panose="020B0604020202020204" pitchFamily="34" charset="0"/>
                <a:cs typeface="Arial" panose="020B0604020202020204" pitchFamily="34" charset="0"/>
              </a:rPr>
              <a:t>(zzgl. MwSt.)</a:t>
            </a:r>
            <a:endParaRPr lang="de-DE" sz="1800" b="1">
              <a:solidFill>
                <a:srgbClr val="25346A"/>
              </a:solidFill>
              <a:latin typeface="Arial" panose="020B0604020202020204" pitchFamily="34" charset="0"/>
              <a:cs typeface="Arial" panose="020B0604020202020204" pitchFamily="34" charset="0"/>
            </a:endParaRPr>
          </a:p>
        </xdr:txBody>
      </xdr:sp>
      <xdr:sp macro="" textlink="">
        <xdr:nvSpPr>
          <xdr:cNvPr id="4" name="Pfeil: nach rechts 3">
            <a:extLst>
              <a:ext uri="{FF2B5EF4-FFF2-40B4-BE49-F238E27FC236}">
                <a16:creationId xmlns:a16="http://schemas.microsoft.com/office/drawing/2014/main" id="{E626D129-6636-03A7-A05F-8213ACE7DCB3}"/>
              </a:ext>
            </a:extLst>
          </xdr:cNvPr>
          <xdr:cNvSpPr/>
        </xdr:nvSpPr>
        <xdr:spPr>
          <a:xfrm rot="5400000">
            <a:off x="6766042" y="5545186"/>
            <a:ext cx="629257" cy="432528"/>
          </a:xfrm>
          <a:prstGeom prst="rightArrow">
            <a:avLst/>
          </a:prstGeom>
          <a:solidFill>
            <a:schemeClr val="bg1">
              <a:lumMod val="75000"/>
            </a:schemeClr>
          </a:solidFill>
        </xdr:spPr>
        <xdr:style>
          <a:lnRef idx="3">
            <a:schemeClr val="lt1"/>
          </a:lnRef>
          <a:fillRef idx="1">
            <a:schemeClr val="dk1"/>
          </a:fillRef>
          <a:effectRef idx="1">
            <a:schemeClr val="dk1"/>
          </a:effectRef>
          <a:fontRef idx="minor">
            <a:schemeClr val="lt1"/>
          </a:fontRef>
        </xdr:style>
        <xdr:txBody>
          <a:bodyPr wrap="square" rtlCol="0" anchor="ct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solidFill>
                <a:schemeClr val="lt1"/>
              </a:solidFill>
            </a:endParaRPr>
          </a:p>
        </xdr:txBody>
      </xdr:sp>
      <xdr:grpSp>
        <xdr:nvGrpSpPr>
          <xdr:cNvPr id="5" name="Gruppieren 4">
            <a:extLst>
              <a:ext uri="{FF2B5EF4-FFF2-40B4-BE49-F238E27FC236}">
                <a16:creationId xmlns:a16="http://schemas.microsoft.com/office/drawing/2014/main" id="{F2BEBB5D-0BFE-6BAB-B560-7455FCD3F500}"/>
              </a:ext>
            </a:extLst>
          </xdr:cNvPr>
          <xdr:cNvGrpSpPr/>
        </xdr:nvGrpSpPr>
        <xdr:grpSpPr>
          <a:xfrm>
            <a:off x="5605435" y="7506192"/>
            <a:ext cx="2694519" cy="993677"/>
            <a:chOff x="10204082" y="16266457"/>
            <a:chExt cx="2913530" cy="941295"/>
          </a:xfrm>
        </xdr:grpSpPr>
        <xdr:sp macro="" textlink="">
          <xdr:nvSpPr>
            <xdr:cNvPr id="6" name="Rechteck: abgerundete Ecken 5">
              <a:extLst>
                <a:ext uri="{FF2B5EF4-FFF2-40B4-BE49-F238E27FC236}">
                  <a16:creationId xmlns:a16="http://schemas.microsoft.com/office/drawing/2014/main" id="{604927C4-361E-8F3D-74C2-37AFB9ED4B32}"/>
                </a:ext>
              </a:extLst>
            </xdr:cNvPr>
            <xdr:cNvSpPr/>
          </xdr:nvSpPr>
          <xdr:spPr>
            <a:xfrm>
              <a:off x="10215288" y="16266457"/>
              <a:ext cx="2902324" cy="941295"/>
            </a:xfrm>
            <a:prstGeom prst="roundRect">
              <a:avLst>
                <a:gd name="adj" fmla="val 16667"/>
              </a:avLst>
            </a:prstGeom>
            <a:solidFill>
              <a:srgbClr val="25346A"/>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sp macro="" textlink="">
          <xdr:nvSpPr>
            <xdr:cNvPr id="7" name="Textfeld 6">
              <a:extLst>
                <a:ext uri="{FF2B5EF4-FFF2-40B4-BE49-F238E27FC236}">
                  <a16:creationId xmlns:a16="http://schemas.microsoft.com/office/drawing/2014/main" id="{923F412E-1DB6-E5CE-4D3E-6302D7BC5B8E}"/>
                </a:ext>
              </a:extLst>
            </xdr:cNvPr>
            <xdr:cNvSpPr txBox="1"/>
          </xdr:nvSpPr>
          <xdr:spPr>
            <a:xfrm>
              <a:off x="10204082" y="16445751"/>
              <a:ext cx="2891118"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de-DE" sz="3000" b="1">
                  <a:solidFill>
                    <a:schemeClr val="bg1"/>
                  </a:solidFill>
                </a:rPr>
                <a:t>Bestellen</a:t>
              </a:r>
            </a:p>
          </xdr:txBody>
        </xdr:sp>
      </xdr:grpSp>
    </xdr:grpSp>
    <xdr:clientData/>
  </xdr:twoCellAnchor>
  <xdr:oneCellAnchor>
    <xdr:from>
      <xdr:col>1</xdr:col>
      <xdr:colOff>1355161</xdr:colOff>
      <xdr:row>2</xdr:row>
      <xdr:rowOff>109904</xdr:rowOff>
    </xdr:from>
    <xdr:ext cx="2181513" cy="288000"/>
    <xdr:sp macro="" textlink="">
      <xdr:nvSpPr>
        <xdr:cNvPr id="8" name="Rectangle: Rounded Corners 16">
          <a:hlinkClick xmlns:r="http://schemas.openxmlformats.org/officeDocument/2006/relationships" r:id="rId2" tooltip="gehe zu ..."/>
          <a:extLst>
            <a:ext uri="{FF2B5EF4-FFF2-40B4-BE49-F238E27FC236}">
              <a16:creationId xmlns:a16="http://schemas.microsoft.com/office/drawing/2014/main" id="{B08E8301-E1FB-44A7-92F8-6AB141B8FE2B}"/>
            </a:ext>
          </a:extLst>
        </xdr:cNvPr>
        <xdr:cNvSpPr/>
      </xdr:nvSpPr>
      <xdr:spPr>
        <a:xfrm>
          <a:off x="1659961" y="433754"/>
          <a:ext cx="2181513" cy="288000"/>
        </a:xfrm>
        <a:prstGeom prst="roundRect">
          <a:avLst/>
        </a:prstGeom>
        <a:solidFill>
          <a:srgbClr val="25346A"/>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ctr"/>
        <a:lstStyle/>
        <a:p>
          <a:pPr marL="0" indent="0" algn="ctr"/>
          <a:r>
            <a:rPr lang="en-US" sz="1100" b="1">
              <a:solidFill>
                <a:schemeClr val="lt1"/>
              </a:solidFill>
              <a:effectLst>
                <a:outerShdw blurRad="50800" dist="38100" dir="13500000" algn="br" rotWithShape="0">
                  <a:prstClr val="black">
                    <a:alpha val="40000"/>
                  </a:prstClr>
                </a:outerShdw>
              </a:effectLst>
              <a:latin typeface="+mn-lt"/>
              <a:ea typeface="+mn-ea"/>
              <a:cs typeface="+mn-cs"/>
            </a:rPr>
            <a:t>Zurück zum Renditekalkulator</a:t>
          </a:r>
        </a:p>
      </xdr:txBody>
    </xdr:sp>
    <xdr:clientData/>
  </xdr:oneCellAnchor>
  <xdr:oneCellAnchor>
    <xdr:from>
      <xdr:col>1</xdr:col>
      <xdr:colOff>1179635</xdr:colOff>
      <xdr:row>14</xdr:row>
      <xdr:rowOff>34389</xdr:rowOff>
    </xdr:from>
    <xdr:ext cx="2305050" cy="620058"/>
    <xdr:pic>
      <xdr:nvPicPr>
        <xdr:cNvPr id="9" name="Grafik 8">
          <a:hlinkClick xmlns:r="http://schemas.openxmlformats.org/officeDocument/2006/relationships" r:id="rId3"/>
          <a:extLst>
            <a:ext uri="{FF2B5EF4-FFF2-40B4-BE49-F238E27FC236}">
              <a16:creationId xmlns:a16="http://schemas.microsoft.com/office/drawing/2014/main" id="{12C38006-F821-415D-9729-8CE2BA822E2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484435" y="3358614"/>
          <a:ext cx="2305050" cy="620058"/>
        </a:xfrm>
        <a:prstGeom prst="rect">
          <a:avLst/>
        </a:prstGeom>
      </xdr:spPr>
    </xdr:pic>
    <xdr:clientData/>
  </xdr:oneCellAnchor>
  <xdr:twoCellAnchor>
    <xdr:from>
      <xdr:col>1</xdr:col>
      <xdr:colOff>4762447</xdr:colOff>
      <xdr:row>2</xdr:row>
      <xdr:rowOff>0</xdr:rowOff>
    </xdr:from>
    <xdr:to>
      <xdr:col>5</xdr:col>
      <xdr:colOff>4266130</xdr:colOff>
      <xdr:row>22</xdr:row>
      <xdr:rowOff>0</xdr:rowOff>
    </xdr:to>
    <xdr:grpSp>
      <xdr:nvGrpSpPr>
        <xdr:cNvPr id="14" name="Gruppieren 13">
          <a:hlinkClick xmlns:r="http://schemas.openxmlformats.org/officeDocument/2006/relationships" r:id="rId1"/>
          <a:extLst>
            <a:ext uri="{FF2B5EF4-FFF2-40B4-BE49-F238E27FC236}">
              <a16:creationId xmlns:a16="http://schemas.microsoft.com/office/drawing/2014/main" id="{6426116A-2FF1-8AD7-C0A6-89EC09E6EE39}"/>
            </a:ext>
          </a:extLst>
        </xdr:cNvPr>
        <xdr:cNvGrpSpPr/>
      </xdr:nvGrpSpPr>
      <xdr:grpSpPr>
        <a:xfrm>
          <a:off x="5068904" y="331304"/>
          <a:ext cx="9161204" cy="5002696"/>
          <a:chOff x="5068904" y="331304"/>
          <a:chExt cx="9161204" cy="5002696"/>
        </a:xfrm>
      </xdr:grpSpPr>
      <xdr:sp macro="" textlink="">
        <xdr:nvSpPr>
          <xdr:cNvPr id="11" name="Rechteck 10">
            <a:extLst>
              <a:ext uri="{FF2B5EF4-FFF2-40B4-BE49-F238E27FC236}">
                <a16:creationId xmlns:a16="http://schemas.microsoft.com/office/drawing/2014/main" id="{B9C5EA24-E075-B933-217A-B378220D6198}"/>
              </a:ext>
            </a:extLst>
          </xdr:cNvPr>
          <xdr:cNvSpPr/>
        </xdr:nvSpPr>
        <xdr:spPr>
          <a:xfrm>
            <a:off x="5068904" y="331304"/>
            <a:ext cx="4011756" cy="477778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marL="0" indent="0" algn="l"/>
            <a:endParaRPr lang="de-DE" sz="2000" b="1">
              <a:solidFill>
                <a:schemeClr val="dk1"/>
              </a:solidFill>
              <a:latin typeface="Arial" panose="020B0604020202020204" pitchFamily="34" charset="0"/>
              <a:ea typeface="+mn-ea"/>
              <a:cs typeface="Arial" panose="020B0604020202020204" pitchFamily="34" charset="0"/>
            </a:endParaRPr>
          </a:p>
        </xdr:txBody>
      </xdr:sp>
      <xdr:sp macro="" textlink="">
        <xdr:nvSpPr>
          <xdr:cNvPr id="12" name="Textfeld 11">
            <a:extLst>
              <a:ext uri="{FF2B5EF4-FFF2-40B4-BE49-F238E27FC236}">
                <a16:creationId xmlns:a16="http://schemas.microsoft.com/office/drawing/2014/main" id="{F0017FE1-109D-C4BD-A8EE-CE792B476FF6}"/>
              </a:ext>
            </a:extLst>
          </xdr:cNvPr>
          <xdr:cNvSpPr txBox="1"/>
        </xdr:nvSpPr>
        <xdr:spPr>
          <a:xfrm>
            <a:off x="9623778" y="331304"/>
            <a:ext cx="4606330" cy="5002696"/>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algn="l"/>
            <a:r>
              <a:rPr lang="de-DE" sz="1600" b="1">
                <a:latin typeface="Arial" panose="020B0604020202020204" pitchFamily="34" charset="0"/>
                <a:cs typeface="Arial" panose="020B0604020202020204" pitchFamily="34" charset="0"/>
              </a:rPr>
              <a:t>Warum EFT Immobilien </a:t>
            </a:r>
            <a:r>
              <a:rPr lang="de-DE" sz="1600" b="1" baseline="0">
                <a:latin typeface="Arial" panose="020B0604020202020204" pitchFamily="34" charset="0"/>
                <a:cs typeface="Arial" panose="020B0604020202020204" pitchFamily="34" charset="0"/>
              </a:rPr>
              <a:t>nutzen?</a:t>
            </a:r>
            <a:endParaRPr lang="de-DE" sz="1600" b="1">
              <a:latin typeface="Arial" panose="020B0604020202020204" pitchFamily="34" charset="0"/>
              <a:cs typeface="Arial" panose="020B0604020202020204" pitchFamily="34" charset="0"/>
            </a:endParaRPr>
          </a:p>
          <a:p>
            <a:pPr algn="l"/>
            <a:endParaRPr lang="de-DE" sz="1600" b="0">
              <a:latin typeface="Arial" panose="020B0604020202020204" pitchFamily="34" charset="0"/>
              <a:cs typeface="Arial" panose="020B0604020202020204" pitchFamily="34" charset="0"/>
            </a:endParaRPr>
          </a:p>
          <a:p>
            <a:pPr algn="l"/>
            <a:r>
              <a:rPr lang="de-DE" sz="1600" b="0">
                <a:latin typeface="Arial" panose="020B0604020202020204" pitchFamily="34" charset="0"/>
                <a:cs typeface="Arial" panose="020B0604020202020204" pitchFamily="34" charset="0"/>
              </a:rPr>
              <a:t>- Lineare AfA mit/ohne Sonder-AfA (§ 7b EStG)</a:t>
            </a:r>
          </a:p>
          <a:p>
            <a:pPr algn="l"/>
            <a:endParaRPr lang="de-DE" sz="1600" b="0">
              <a:latin typeface="Arial" panose="020B0604020202020204" pitchFamily="34" charset="0"/>
              <a:cs typeface="Arial" panose="020B0604020202020204" pitchFamily="34" charset="0"/>
            </a:endParaRPr>
          </a:p>
          <a:p>
            <a:pPr algn="l"/>
            <a:r>
              <a:rPr lang="de-DE" sz="1600" b="0">
                <a:latin typeface="Arial" panose="020B0604020202020204" pitchFamily="34" charset="0"/>
                <a:cs typeface="Arial" panose="020B0604020202020204" pitchFamily="34" charset="0"/>
              </a:rPr>
              <a:t>- Degressive AfA (§ 7 Abs. 5a EStG) </a:t>
            </a:r>
          </a:p>
          <a:p>
            <a:pPr algn="l"/>
            <a:r>
              <a:rPr lang="de-DE" sz="1600" b="0">
                <a:latin typeface="Arial" panose="020B0604020202020204" pitchFamily="34" charset="0"/>
                <a:cs typeface="Arial" panose="020B0604020202020204" pitchFamily="34" charset="0"/>
              </a:rPr>
              <a:t>   mit/ohne Wechsel zu linearer AfA u. mit/ohne</a:t>
            </a:r>
          </a:p>
          <a:p>
            <a:pPr algn="l"/>
            <a:r>
              <a:rPr lang="de-DE" sz="1600" b="0">
                <a:latin typeface="Arial" panose="020B0604020202020204" pitchFamily="34" charset="0"/>
                <a:cs typeface="Arial" panose="020B0604020202020204" pitchFamily="34" charset="0"/>
              </a:rPr>
              <a:t>   Sonderabschreibung</a:t>
            </a:r>
          </a:p>
          <a:p>
            <a:pPr algn="l"/>
            <a:endParaRPr lang="de-DE" sz="1600" b="0">
              <a:latin typeface="Arial" panose="020B0604020202020204" pitchFamily="34" charset="0"/>
              <a:cs typeface="Arial" panose="020B0604020202020204" pitchFamily="34" charset="0"/>
            </a:endParaRPr>
          </a:p>
          <a:p>
            <a:pPr algn="l"/>
            <a:r>
              <a:rPr lang="de-DE" sz="1600" b="0">
                <a:latin typeface="Arial" panose="020B0604020202020204" pitchFamily="34" charset="0"/>
                <a:cs typeface="Arial" panose="020B0604020202020204" pitchFamily="34" charset="0"/>
              </a:rPr>
              <a:t>- Denkmalabschreibungen (§ 7h, 7i EstG </a:t>
            </a:r>
          </a:p>
          <a:p>
            <a:pPr algn="l"/>
            <a:r>
              <a:rPr lang="de-DE" sz="1600" b="0">
                <a:latin typeface="Arial" panose="020B0604020202020204" pitchFamily="34" charset="0"/>
                <a:cs typeface="Arial" panose="020B0604020202020204" pitchFamily="34" charset="0"/>
              </a:rPr>
              <a:t>   bzw. §10 f EStG)</a:t>
            </a:r>
          </a:p>
          <a:p>
            <a:pPr algn="l"/>
            <a:endParaRPr lang="de-DE" sz="1600" b="0">
              <a:latin typeface="Arial" panose="020B0604020202020204" pitchFamily="34" charset="0"/>
              <a:cs typeface="Arial" panose="020B0604020202020204" pitchFamily="34" charset="0"/>
            </a:endParaRPr>
          </a:p>
          <a:p>
            <a:pPr algn="l"/>
            <a:r>
              <a:rPr lang="de-DE" sz="1600" b="0">
                <a:latin typeface="Arial" panose="020B0604020202020204" pitchFamily="34" charset="0"/>
                <a:cs typeface="Arial" panose="020B0604020202020204" pitchFamily="34" charset="0"/>
              </a:rPr>
              <a:t>- Berechnung &amp; Darstellung über gesamte</a:t>
            </a:r>
          </a:p>
          <a:p>
            <a:pPr algn="l"/>
            <a:r>
              <a:rPr lang="de-DE" sz="1600" b="0">
                <a:latin typeface="Arial" panose="020B0604020202020204" pitchFamily="34" charset="0"/>
                <a:cs typeface="Arial" panose="020B0604020202020204" pitchFamily="34" charset="0"/>
              </a:rPr>
              <a:t>   Nutzungsdauer (max. 50 Jahre)</a:t>
            </a:r>
          </a:p>
          <a:p>
            <a:pPr algn="l"/>
            <a:endParaRPr lang="de-DE" sz="1600" b="0">
              <a:latin typeface="Arial" panose="020B0604020202020204" pitchFamily="34" charset="0"/>
              <a:cs typeface="Arial" panose="020B0604020202020204" pitchFamily="34" charset="0"/>
            </a:endParaRPr>
          </a:p>
          <a:p>
            <a:pPr algn="l"/>
            <a:r>
              <a:rPr lang="de-DE" sz="1600" b="0">
                <a:latin typeface="Arial" panose="020B0604020202020204" pitchFamily="34" charset="0"/>
                <a:cs typeface="Arial" panose="020B0604020202020204" pitchFamily="34" charset="0"/>
              </a:rPr>
              <a:t>- Inkl. Übersichten + Grafiken</a:t>
            </a:r>
          </a:p>
          <a:p>
            <a:pPr algn="l"/>
            <a:endParaRPr lang="de-DE" sz="1600" b="0">
              <a:latin typeface="Arial" panose="020B0604020202020204" pitchFamily="34" charset="0"/>
              <a:cs typeface="Arial" panose="020B0604020202020204" pitchFamily="34" charset="0"/>
            </a:endParaRPr>
          </a:p>
          <a:p>
            <a:pPr algn="l"/>
            <a:r>
              <a:rPr lang="de-DE" sz="1600" b="0">
                <a:latin typeface="Arial" panose="020B0604020202020204" pitchFamily="34" charset="0"/>
                <a:cs typeface="Arial" panose="020B0604020202020204" pitchFamily="34" charset="0"/>
              </a:rPr>
              <a:t>- Einmalpreis (kein Abo) =&gt; Sofortiger Download</a:t>
            </a:r>
          </a:p>
          <a:p>
            <a:pPr algn="l"/>
            <a:r>
              <a:rPr lang="de-DE" sz="1600" b="0">
                <a:latin typeface="Arial" panose="020B0604020202020204" pitchFamily="34" charset="0"/>
                <a:cs typeface="Arial" panose="020B0604020202020204" pitchFamily="34" charset="0"/>
              </a:rPr>
              <a:t>   =&gt; direkt loslegen</a:t>
            </a:r>
          </a:p>
        </xdr:txBody>
      </xdr:sp>
      <xdr:pic>
        <xdr:nvPicPr>
          <xdr:cNvPr id="13" name="Grafik 12">
            <a:extLst>
              <a:ext uri="{FF2B5EF4-FFF2-40B4-BE49-F238E27FC236}">
                <a16:creationId xmlns:a16="http://schemas.microsoft.com/office/drawing/2014/main" id="{4531D156-EE81-C799-7F9B-8EA6ECEB4D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5590757" y="667044"/>
            <a:ext cx="3854528" cy="4135138"/>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_Projects/Skjerven%20Invest/FM/FM%20Skjerven,%20030c,%2020.03.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Index"/>
      <sheetName val="Inputs"/>
      <sheetName val="Rent"/>
      <sheetName val="Summary"/>
      <sheetName val="Cashflow"/>
      <sheetName val="Financing"/>
      <sheetName val="Fluctuation"/>
      <sheetName val="Timing"/>
      <sheetName val="Formate"/>
    </sheetNames>
    <sheetDataSet>
      <sheetData sheetId="0"/>
      <sheetData sheetId="1"/>
      <sheetData sheetId="2">
        <row r="24">
          <cell r="G24">
            <v>0</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upport@fimovi.de" TargetMode="External"/><Relationship Id="rId2" Type="http://schemas.openxmlformats.org/officeDocument/2006/relationships/hyperlink" Target="https://fimovi.de/" TargetMode="External"/><Relationship Id="rId1" Type="http://schemas.openxmlformats.org/officeDocument/2006/relationships/hyperlink" Target="https://fimovi.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fimovi.de/ubersicht-steuern-sparen-mit-neuen-abschreibungsvarianten-fur-immobilien/" TargetMode="External"/><Relationship Id="rId1" Type="http://schemas.openxmlformats.org/officeDocument/2006/relationships/hyperlink" Target="http://de.wikipedia.org/wiki/ISO_4217"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fimovi.de/eft-immobilien/"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fimovi.de/afa-rechner-fuer-immobilien-excel-too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78283-C6B4-48B3-B058-CD88A850D012}">
  <sheetPr>
    <tabColor rgb="FF00B0F0"/>
    <pageSetUpPr fitToPage="1"/>
  </sheetPr>
  <dimension ref="A1:N122"/>
  <sheetViews>
    <sheetView showGridLines="0" showRowColHeaders="0" zoomScaleNormal="100" zoomScaleSheetLayoutView="115" workbookViewId="0"/>
  </sheetViews>
  <sheetFormatPr baseColWidth="10" defaultColWidth="0" defaultRowHeight="10.5" customHeight="1"/>
  <cols>
    <col min="1" max="1" width="2" style="208" customWidth="1"/>
    <col min="2" max="2" width="3.85546875" style="208" customWidth="1"/>
    <col min="3" max="12" width="11.42578125" style="208" customWidth="1"/>
    <col min="13" max="13" width="3.85546875" style="208" customWidth="1"/>
    <col min="14" max="14" width="2.7109375" style="208" customWidth="1"/>
    <col min="15" max="16384" width="11.42578125" style="208" hidden="1"/>
  </cols>
  <sheetData>
    <row r="1" spans="1:14" ht="13.5" thickBot="1">
      <c r="A1" s="209"/>
      <c r="B1" s="209"/>
      <c r="C1" s="209"/>
      <c r="D1" s="209"/>
      <c r="E1" s="209"/>
      <c r="F1" s="209"/>
      <c r="G1" s="209"/>
      <c r="H1" s="209"/>
      <c r="I1" s="209"/>
      <c r="J1" s="209"/>
      <c r="K1" s="209"/>
      <c r="L1" s="209"/>
      <c r="M1" s="209"/>
      <c r="N1" s="209"/>
    </row>
    <row r="2" spans="1:14" ht="26.25" customHeight="1" thickTop="1">
      <c r="A2" s="209"/>
      <c r="B2" s="235"/>
      <c r="C2" s="234"/>
      <c r="D2" s="234"/>
      <c r="E2" s="234"/>
      <c r="F2" s="234"/>
      <c r="G2" s="234"/>
      <c r="H2" s="234"/>
      <c r="I2" s="234"/>
      <c r="J2" s="234"/>
      <c r="K2" s="234"/>
      <c r="L2" s="234"/>
      <c r="M2" s="233"/>
      <c r="N2" s="209"/>
    </row>
    <row r="3" spans="1:14" ht="26.25" customHeight="1">
      <c r="A3" s="209"/>
      <c r="B3" s="216"/>
      <c r="C3" s="232"/>
      <c r="D3" s="231"/>
      <c r="M3" s="213"/>
      <c r="N3" s="209"/>
    </row>
    <row r="4" spans="1:14" ht="26.25" customHeight="1">
      <c r="A4" s="209"/>
      <c r="B4" s="216"/>
      <c r="C4" s="232" t="s">
        <v>326</v>
      </c>
      <c r="D4" s="231"/>
      <c r="M4" s="213"/>
      <c r="N4" s="209"/>
    </row>
    <row r="5" spans="1:14" ht="26.25" customHeight="1">
      <c r="A5" s="209"/>
      <c r="B5" s="216"/>
      <c r="C5" s="230" t="s">
        <v>179</v>
      </c>
      <c r="E5" s="231"/>
      <c r="F5" s="231"/>
      <c r="G5" s="231"/>
      <c r="H5" s="231"/>
      <c r="M5" s="213"/>
      <c r="N5" s="209"/>
    </row>
    <row r="6" spans="1:14" ht="26.25" customHeight="1">
      <c r="A6" s="209"/>
      <c r="B6" s="216"/>
      <c r="C6" s="230"/>
      <c r="M6" s="213"/>
      <c r="N6" s="209"/>
    </row>
    <row r="7" spans="1:14" ht="12.75">
      <c r="A7" s="209"/>
      <c r="B7" s="229"/>
      <c r="C7" s="228"/>
      <c r="D7" s="228"/>
      <c r="E7" s="228"/>
      <c r="F7" s="228"/>
      <c r="G7" s="228"/>
      <c r="H7" s="228"/>
      <c r="I7" s="228"/>
      <c r="J7" s="228"/>
      <c r="K7" s="228"/>
      <c r="L7" s="228"/>
      <c r="M7" s="227"/>
      <c r="N7" s="209"/>
    </row>
    <row r="8" spans="1:14" ht="12.75">
      <c r="A8" s="209"/>
      <c r="B8" s="216"/>
      <c r="M8" s="213"/>
      <c r="N8" s="209"/>
    </row>
    <row r="9" spans="1:14" ht="12.75">
      <c r="A9" s="209"/>
      <c r="B9" s="216"/>
      <c r="M9" s="213"/>
      <c r="N9" s="209"/>
    </row>
    <row r="10" spans="1:14" ht="28.5">
      <c r="A10" s="209"/>
      <c r="B10" s="216"/>
      <c r="C10" s="226" t="s">
        <v>329</v>
      </c>
      <c r="D10" s="226"/>
      <c r="E10" s="225"/>
      <c r="F10" s="225"/>
      <c r="G10" s="225"/>
      <c r="H10" s="225"/>
      <c r="I10" s="225"/>
      <c r="M10" s="213"/>
      <c r="N10" s="209"/>
    </row>
    <row r="11" spans="1:14" ht="28.5">
      <c r="A11" s="209"/>
      <c r="B11" s="216"/>
      <c r="C11" s="224" t="s">
        <v>327</v>
      </c>
      <c r="D11" s="224"/>
      <c r="E11" s="225"/>
      <c r="F11" s="225"/>
      <c r="G11" s="225"/>
      <c r="H11" s="225"/>
      <c r="I11" s="225"/>
      <c r="M11" s="213"/>
      <c r="N11" s="209"/>
    </row>
    <row r="12" spans="1:14" ht="28.5">
      <c r="A12" s="209"/>
      <c r="B12" s="216"/>
      <c r="C12" s="224" t="s">
        <v>328</v>
      </c>
      <c r="D12" s="224"/>
      <c r="E12" s="223"/>
      <c r="F12" s="223"/>
      <c r="G12" s="223"/>
      <c r="M12" s="213"/>
      <c r="N12" s="209"/>
    </row>
    <row r="13" spans="1:14" ht="12.75">
      <c r="A13" s="209"/>
      <c r="B13" s="216"/>
      <c r="M13" s="213"/>
      <c r="N13" s="209"/>
    </row>
    <row r="14" spans="1:14" ht="12.75">
      <c r="A14" s="209"/>
      <c r="B14" s="216"/>
      <c r="M14" s="213"/>
      <c r="N14" s="209"/>
    </row>
    <row r="15" spans="1:14" ht="28.5">
      <c r="A15" s="209"/>
      <c r="B15" s="221"/>
      <c r="C15" s="220" t="s">
        <v>325</v>
      </c>
      <c r="D15" s="222"/>
      <c r="E15" s="222"/>
      <c r="F15" s="219"/>
      <c r="G15" s="219"/>
      <c r="H15" s="219"/>
      <c r="I15" s="219"/>
      <c r="J15" s="219"/>
      <c r="K15" s="219"/>
      <c r="L15" s="219"/>
      <c r="M15" s="218"/>
      <c r="N15" s="209"/>
    </row>
    <row r="16" spans="1:14" ht="12.75">
      <c r="A16" s="209"/>
      <c r="B16" s="216"/>
      <c r="M16" s="213"/>
      <c r="N16" s="209"/>
    </row>
    <row r="17" spans="1:14" ht="12.75">
      <c r="A17" s="209"/>
      <c r="B17" s="216"/>
      <c r="M17" s="213"/>
      <c r="N17" s="209"/>
    </row>
    <row r="18" spans="1:14" ht="12.75">
      <c r="A18" s="209"/>
      <c r="B18" s="216"/>
      <c r="M18" s="213"/>
      <c r="N18" s="209"/>
    </row>
    <row r="19" spans="1:14" ht="12.75">
      <c r="A19" s="209"/>
      <c r="B19" s="216"/>
      <c r="M19" s="213"/>
      <c r="N19" s="209"/>
    </row>
    <row r="20" spans="1:14" ht="12.75">
      <c r="A20" s="209"/>
      <c r="B20" s="216"/>
      <c r="M20" s="213"/>
      <c r="N20" s="209"/>
    </row>
    <row r="21" spans="1:14" ht="12.75">
      <c r="A21" s="209"/>
      <c r="B21" s="216"/>
      <c r="M21" s="213"/>
      <c r="N21" s="209"/>
    </row>
    <row r="22" spans="1:14" ht="12.75">
      <c r="A22" s="209"/>
      <c r="B22" s="216"/>
      <c r="M22" s="213"/>
      <c r="N22" s="209"/>
    </row>
    <row r="23" spans="1:14" ht="12.75">
      <c r="A23" s="209"/>
      <c r="B23" s="216"/>
      <c r="M23" s="213"/>
      <c r="N23" s="209"/>
    </row>
    <row r="24" spans="1:14" ht="12.75">
      <c r="A24" s="209"/>
      <c r="B24" s="216"/>
      <c r="M24" s="213"/>
      <c r="N24" s="209"/>
    </row>
    <row r="25" spans="1:14" ht="12.75">
      <c r="A25" s="209"/>
      <c r="B25" s="216"/>
      <c r="M25" s="213"/>
      <c r="N25" s="209"/>
    </row>
    <row r="26" spans="1:14" ht="12.75">
      <c r="A26" s="209"/>
      <c r="B26" s="216"/>
      <c r="M26" s="213"/>
      <c r="N26" s="209"/>
    </row>
    <row r="27" spans="1:14" ht="12.75">
      <c r="A27" s="209"/>
      <c r="B27" s="216"/>
      <c r="M27" s="213"/>
      <c r="N27" s="209"/>
    </row>
    <row r="28" spans="1:14" ht="12.75">
      <c r="A28" s="209"/>
      <c r="B28" s="216"/>
      <c r="M28" s="213"/>
      <c r="N28" s="209"/>
    </row>
    <row r="29" spans="1:14" ht="12.75">
      <c r="A29" s="209"/>
      <c r="B29" s="216"/>
      <c r="M29" s="213"/>
      <c r="N29" s="209"/>
    </row>
    <row r="30" spans="1:14" ht="12.75">
      <c r="A30" s="209"/>
      <c r="B30" s="216"/>
      <c r="M30" s="213"/>
      <c r="N30" s="209"/>
    </row>
    <row r="31" spans="1:14" ht="12.75">
      <c r="A31" s="209"/>
      <c r="B31" s="216"/>
      <c r="M31" s="213"/>
      <c r="N31" s="209"/>
    </row>
    <row r="32" spans="1:14" ht="12.75">
      <c r="A32" s="209"/>
      <c r="B32" s="216"/>
      <c r="M32" s="213"/>
      <c r="N32" s="209"/>
    </row>
    <row r="33" spans="1:14" ht="12.75">
      <c r="A33" s="209"/>
      <c r="B33" s="216"/>
      <c r="M33" s="213"/>
      <c r="N33" s="209"/>
    </row>
    <row r="34" spans="1:14" ht="12.75">
      <c r="A34" s="209"/>
      <c r="B34" s="216"/>
      <c r="M34" s="213"/>
      <c r="N34" s="209"/>
    </row>
    <row r="35" spans="1:14" ht="12.75">
      <c r="A35" s="209"/>
      <c r="B35" s="216"/>
      <c r="M35" s="213"/>
      <c r="N35" s="209"/>
    </row>
    <row r="36" spans="1:14" ht="12.75">
      <c r="A36" s="209"/>
      <c r="B36" s="216"/>
      <c r="M36" s="213"/>
      <c r="N36" s="209"/>
    </row>
    <row r="37" spans="1:14" ht="12.75">
      <c r="A37" s="209"/>
      <c r="B37" s="216"/>
      <c r="M37" s="213"/>
      <c r="N37" s="209"/>
    </row>
    <row r="38" spans="1:14" ht="12.75">
      <c r="A38" s="209"/>
      <c r="B38" s="216"/>
      <c r="M38" s="213"/>
      <c r="N38" s="209"/>
    </row>
    <row r="39" spans="1:14" ht="28.5">
      <c r="A39" s="209"/>
      <c r="B39" s="221"/>
      <c r="C39" s="220" t="s">
        <v>171</v>
      </c>
      <c r="D39" s="219"/>
      <c r="E39" s="219"/>
      <c r="F39" s="219"/>
      <c r="G39" s="219"/>
      <c r="H39" s="219"/>
      <c r="I39" s="219"/>
      <c r="J39" s="219"/>
      <c r="K39" s="219"/>
      <c r="L39" s="219"/>
      <c r="M39" s="218"/>
      <c r="N39" s="209"/>
    </row>
    <row r="40" spans="1:14" ht="12.75">
      <c r="A40" s="209"/>
      <c r="B40" s="216"/>
      <c r="M40" s="213"/>
      <c r="N40" s="209"/>
    </row>
    <row r="41" spans="1:14" ht="12.75">
      <c r="A41" s="209"/>
      <c r="B41" s="216"/>
      <c r="M41" s="213"/>
      <c r="N41" s="209"/>
    </row>
    <row r="42" spans="1:14" ht="12.75">
      <c r="A42" s="209"/>
      <c r="B42" s="216"/>
      <c r="M42" s="213"/>
      <c r="N42" s="209"/>
    </row>
    <row r="43" spans="1:14" ht="12.75">
      <c r="A43" s="209"/>
      <c r="B43" s="216"/>
      <c r="M43" s="213"/>
      <c r="N43" s="209"/>
    </row>
    <row r="44" spans="1:14" ht="12.75">
      <c r="A44" s="209"/>
      <c r="B44" s="216"/>
      <c r="M44" s="213"/>
      <c r="N44" s="209"/>
    </row>
    <row r="45" spans="1:14" ht="12.75">
      <c r="A45" s="209"/>
      <c r="B45" s="216"/>
      <c r="M45" s="213"/>
      <c r="N45" s="209"/>
    </row>
    <row r="46" spans="1:14" ht="12.75">
      <c r="A46" s="209"/>
      <c r="B46" s="216"/>
      <c r="M46" s="213"/>
      <c r="N46" s="209"/>
    </row>
    <row r="47" spans="1:14" ht="12.75">
      <c r="A47" s="209"/>
      <c r="B47" s="216"/>
      <c r="M47" s="213"/>
      <c r="N47" s="209"/>
    </row>
    <row r="48" spans="1:14" ht="12.75">
      <c r="A48" s="209"/>
      <c r="B48" s="216"/>
      <c r="M48" s="213"/>
      <c r="N48" s="209"/>
    </row>
    <row r="49" spans="1:14" ht="12.75">
      <c r="A49" s="209"/>
      <c r="B49" s="216"/>
      <c r="M49" s="213"/>
      <c r="N49" s="209"/>
    </row>
    <row r="50" spans="1:14" ht="12.75">
      <c r="A50" s="209"/>
      <c r="B50" s="216"/>
      <c r="M50" s="213"/>
      <c r="N50" s="209"/>
    </row>
    <row r="51" spans="1:14" ht="12.75">
      <c r="A51" s="209"/>
      <c r="B51" s="216"/>
      <c r="M51" s="213"/>
      <c r="N51" s="209"/>
    </row>
    <row r="52" spans="1:14" ht="12.75">
      <c r="A52" s="209"/>
      <c r="B52" s="216"/>
      <c r="M52" s="213"/>
      <c r="N52" s="209"/>
    </row>
    <row r="53" spans="1:14" ht="12.75">
      <c r="A53" s="209"/>
      <c r="B53" s="216"/>
      <c r="M53" s="213"/>
      <c r="N53" s="209"/>
    </row>
    <row r="54" spans="1:14" ht="12.75">
      <c r="A54" s="209"/>
      <c r="B54" s="216"/>
      <c r="M54" s="213"/>
      <c r="N54" s="209"/>
    </row>
    <row r="55" spans="1:14" ht="12.75">
      <c r="A55" s="209"/>
      <c r="B55" s="216"/>
      <c r="M55" s="213"/>
      <c r="N55" s="209"/>
    </row>
    <row r="56" spans="1:14" ht="15">
      <c r="A56" s="209"/>
      <c r="B56" s="216"/>
      <c r="C56" s="215" t="s">
        <v>172</v>
      </c>
      <c r="M56" s="213"/>
      <c r="N56" s="209"/>
    </row>
    <row r="57" spans="1:14" ht="15">
      <c r="A57" s="209"/>
      <c r="B57" s="216"/>
      <c r="C57" s="208" t="s">
        <v>173</v>
      </c>
      <c r="D57" s="217" t="s">
        <v>179</v>
      </c>
      <c r="G57" s="214"/>
      <c r="H57" s="217"/>
      <c r="M57" s="213"/>
      <c r="N57" s="209"/>
    </row>
    <row r="58" spans="1:14" ht="15">
      <c r="A58" s="209"/>
      <c r="B58" s="216"/>
      <c r="C58" s="208" t="s">
        <v>174</v>
      </c>
      <c r="D58" s="217" t="s">
        <v>175</v>
      </c>
      <c r="G58" s="214"/>
      <c r="H58" s="217"/>
      <c r="M58" s="213"/>
      <c r="N58" s="209"/>
    </row>
    <row r="59" spans="1:14" ht="12.75">
      <c r="A59" s="209"/>
      <c r="B59" s="216"/>
      <c r="M59" s="213"/>
      <c r="N59" s="209"/>
    </row>
    <row r="60" spans="1:14" ht="15">
      <c r="A60" s="209"/>
      <c r="B60" s="216"/>
      <c r="D60" s="215"/>
      <c r="E60" s="215"/>
      <c r="L60" s="214" t="s">
        <v>324</v>
      </c>
      <c r="M60" s="213"/>
      <c r="N60" s="209"/>
    </row>
    <row r="61" spans="1:14" ht="13.5" thickBot="1">
      <c r="A61" s="209"/>
      <c r="B61" s="212"/>
      <c r="C61" s="211"/>
      <c r="D61" s="211"/>
      <c r="E61" s="211"/>
      <c r="F61" s="211"/>
      <c r="G61" s="211"/>
      <c r="H61" s="211"/>
      <c r="I61" s="211"/>
      <c r="J61" s="211"/>
      <c r="K61" s="211"/>
      <c r="L61" s="211"/>
      <c r="M61" s="210"/>
      <c r="N61" s="209"/>
    </row>
    <row r="62" spans="1:14" ht="17.25" customHeight="1" thickTop="1">
      <c r="A62" s="209"/>
      <c r="B62" s="209"/>
      <c r="C62" s="209"/>
      <c r="D62" s="209"/>
      <c r="E62" s="209"/>
      <c r="F62" s="209"/>
      <c r="G62" s="209"/>
      <c r="H62" s="209"/>
      <c r="I62" s="209"/>
      <c r="J62" s="209"/>
      <c r="K62" s="209"/>
      <c r="L62" s="209"/>
      <c r="M62" s="209"/>
      <c r="N62" s="209"/>
    </row>
    <row r="63" spans="1:14" ht="17.25" customHeight="1">
      <c r="A63" s="209"/>
      <c r="B63" s="209"/>
      <c r="C63" s="209"/>
      <c r="D63" s="209"/>
      <c r="E63" s="209"/>
      <c r="F63" s="209"/>
      <c r="G63" s="209"/>
      <c r="H63" s="209"/>
      <c r="I63" s="209"/>
      <c r="J63" s="209"/>
      <c r="K63" s="209"/>
      <c r="L63" s="209"/>
      <c r="M63" s="209"/>
      <c r="N63" s="209"/>
    </row>
    <row r="64" spans="1:14" ht="17.25" customHeight="1">
      <c r="A64" s="209"/>
      <c r="B64" s="209"/>
      <c r="C64" s="209"/>
      <c r="D64" s="209"/>
      <c r="E64" s="209"/>
      <c r="F64" s="209"/>
      <c r="G64" s="209"/>
      <c r="H64" s="209"/>
      <c r="I64" s="209"/>
      <c r="J64" s="209"/>
      <c r="K64" s="209"/>
      <c r="L64" s="209"/>
      <c r="M64" s="209"/>
      <c r="N64" s="209"/>
    </row>
    <row r="65" spans="1:14" ht="17.25" customHeight="1">
      <c r="A65" s="209"/>
      <c r="B65" s="209"/>
      <c r="C65" s="209"/>
      <c r="D65" s="209"/>
      <c r="E65" s="209"/>
      <c r="F65" s="209"/>
      <c r="G65" s="209"/>
      <c r="H65" s="209"/>
      <c r="I65" s="209"/>
      <c r="J65" s="209"/>
      <c r="K65" s="209"/>
      <c r="L65" s="209"/>
      <c r="M65" s="209"/>
      <c r="N65" s="209"/>
    </row>
    <row r="66" spans="1:14" ht="17.25" customHeight="1">
      <c r="A66" s="209"/>
      <c r="B66" s="209"/>
      <c r="C66" s="209"/>
      <c r="D66" s="209"/>
      <c r="E66" s="209"/>
      <c r="F66" s="209"/>
      <c r="G66" s="209"/>
      <c r="H66" s="209"/>
      <c r="I66" s="209"/>
      <c r="J66" s="209"/>
      <c r="K66" s="209"/>
      <c r="L66" s="209"/>
      <c r="M66" s="209"/>
      <c r="N66" s="209"/>
    </row>
    <row r="67" spans="1:14" ht="17.25" customHeight="1">
      <c r="A67" s="209"/>
      <c r="B67" s="209"/>
      <c r="C67" s="209"/>
      <c r="D67" s="209"/>
      <c r="E67" s="209"/>
      <c r="F67" s="209"/>
      <c r="G67" s="209"/>
      <c r="H67" s="209"/>
      <c r="I67" s="209"/>
      <c r="J67" s="209"/>
      <c r="K67" s="209"/>
      <c r="L67" s="209"/>
      <c r="M67" s="209"/>
      <c r="N67" s="209"/>
    </row>
    <row r="68" spans="1:14" ht="17.25" customHeight="1">
      <c r="A68" s="209"/>
      <c r="B68" s="209"/>
      <c r="C68" s="209"/>
      <c r="D68" s="209"/>
      <c r="E68" s="209"/>
      <c r="F68" s="209"/>
      <c r="G68" s="209"/>
      <c r="H68" s="209"/>
      <c r="I68" s="209"/>
      <c r="J68" s="209"/>
      <c r="K68" s="209"/>
      <c r="L68" s="209"/>
      <c r="M68" s="209"/>
      <c r="N68" s="209"/>
    </row>
    <row r="69" spans="1:14" ht="17.25" customHeight="1">
      <c r="A69" s="209"/>
      <c r="B69" s="209"/>
      <c r="C69" s="209"/>
      <c r="D69" s="209"/>
      <c r="E69" s="209"/>
      <c r="F69" s="209"/>
      <c r="G69" s="209"/>
      <c r="H69" s="209"/>
      <c r="I69" s="209"/>
      <c r="J69" s="209"/>
      <c r="K69" s="209"/>
      <c r="L69" s="209"/>
      <c r="M69" s="209"/>
      <c r="N69" s="209"/>
    </row>
    <row r="70" spans="1:14" ht="17.25" customHeight="1">
      <c r="A70" s="209"/>
      <c r="B70" s="209"/>
      <c r="C70" s="209"/>
      <c r="D70" s="209"/>
      <c r="E70" s="209"/>
      <c r="F70" s="209"/>
      <c r="G70" s="209"/>
      <c r="H70" s="209"/>
      <c r="I70" s="209"/>
      <c r="J70" s="209"/>
      <c r="K70" s="209"/>
      <c r="L70" s="209"/>
      <c r="M70" s="209"/>
      <c r="N70" s="209"/>
    </row>
    <row r="71" spans="1:14" ht="17.25" customHeight="1">
      <c r="A71" s="209"/>
      <c r="B71" s="209"/>
      <c r="C71" s="209"/>
      <c r="D71" s="209"/>
      <c r="E71" s="209"/>
      <c r="F71" s="209"/>
      <c r="G71" s="209"/>
      <c r="H71" s="209"/>
      <c r="I71" s="209"/>
      <c r="J71" s="209"/>
      <c r="K71" s="209"/>
      <c r="L71" s="209"/>
      <c r="M71" s="209"/>
      <c r="N71" s="209"/>
    </row>
    <row r="72" spans="1:14" ht="17.25" customHeight="1">
      <c r="A72" s="209"/>
      <c r="B72" s="209"/>
      <c r="C72" s="209"/>
      <c r="D72" s="209"/>
      <c r="E72" s="209"/>
      <c r="F72" s="209"/>
      <c r="G72" s="209"/>
      <c r="H72" s="209"/>
      <c r="I72" s="209"/>
      <c r="J72" s="209"/>
      <c r="K72" s="209"/>
      <c r="L72" s="209"/>
      <c r="M72" s="209"/>
      <c r="N72" s="209"/>
    </row>
    <row r="73" spans="1:14" ht="17.25" customHeight="1">
      <c r="A73" s="209"/>
      <c r="B73" s="209"/>
      <c r="C73" s="209"/>
      <c r="D73" s="209"/>
      <c r="E73" s="209"/>
      <c r="F73" s="209"/>
      <c r="G73" s="209"/>
      <c r="H73" s="209"/>
      <c r="I73" s="209"/>
      <c r="J73" s="209"/>
      <c r="K73" s="209"/>
      <c r="L73" s="209"/>
      <c r="M73" s="209"/>
      <c r="N73" s="209"/>
    </row>
    <row r="74" spans="1:14" ht="17.25" customHeight="1">
      <c r="A74" s="209"/>
      <c r="B74" s="209"/>
      <c r="C74" s="209"/>
      <c r="D74" s="209"/>
      <c r="E74" s="209"/>
      <c r="F74" s="209"/>
      <c r="G74" s="209"/>
      <c r="H74" s="209"/>
      <c r="I74" s="209"/>
      <c r="J74" s="209"/>
      <c r="K74" s="209"/>
      <c r="L74" s="209"/>
      <c r="M74" s="209"/>
      <c r="N74" s="209"/>
    </row>
    <row r="75" spans="1:14" ht="17.25" customHeight="1">
      <c r="A75" s="209"/>
      <c r="B75" s="209"/>
      <c r="C75" s="209"/>
      <c r="D75" s="209"/>
      <c r="E75" s="209"/>
      <c r="F75" s="209"/>
      <c r="G75" s="209"/>
      <c r="H75" s="209"/>
      <c r="I75" s="209"/>
      <c r="J75" s="209"/>
      <c r="K75" s="209"/>
      <c r="L75" s="209"/>
      <c r="M75" s="209"/>
      <c r="N75" s="209"/>
    </row>
    <row r="76" spans="1:14" ht="17.25" customHeight="1">
      <c r="A76" s="209"/>
      <c r="B76" s="209"/>
      <c r="C76" s="209"/>
      <c r="D76" s="209"/>
      <c r="E76" s="209"/>
      <c r="F76" s="209"/>
      <c r="G76" s="209"/>
      <c r="H76" s="209"/>
      <c r="I76" s="209"/>
      <c r="J76" s="209"/>
      <c r="K76" s="209"/>
      <c r="L76" s="209"/>
      <c r="M76" s="209"/>
      <c r="N76" s="209"/>
    </row>
    <row r="77" spans="1:14" ht="17.25" customHeight="1">
      <c r="A77" s="209"/>
      <c r="B77" s="209"/>
      <c r="C77" s="209"/>
      <c r="D77" s="209"/>
      <c r="E77" s="209"/>
      <c r="F77" s="209"/>
      <c r="G77" s="209"/>
      <c r="H77" s="209"/>
      <c r="I77" s="209"/>
      <c r="J77" s="209"/>
      <c r="K77" s="209"/>
      <c r="L77" s="209"/>
      <c r="M77" s="209"/>
      <c r="N77" s="209"/>
    </row>
    <row r="78" spans="1:14" ht="17.25" customHeight="1">
      <c r="A78" s="209"/>
      <c r="B78" s="209"/>
      <c r="C78" s="209"/>
      <c r="D78" s="209"/>
      <c r="E78" s="209"/>
      <c r="F78" s="209"/>
      <c r="G78" s="209"/>
      <c r="H78" s="209"/>
      <c r="I78" s="209"/>
      <c r="J78" s="209"/>
      <c r="K78" s="209"/>
      <c r="L78" s="209"/>
      <c r="M78" s="209"/>
      <c r="N78" s="209"/>
    </row>
    <row r="79" spans="1:14" ht="17.25" customHeight="1">
      <c r="A79" s="209"/>
      <c r="B79" s="209"/>
      <c r="C79" s="209"/>
      <c r="D79" s="209"/>
      <c r="E79" s="209"/>
      <c r="F79" s="209"/>
      <c r="G79" s="209"/>
      <c r="H79" s="209"/>
      <c r="I79" s="209"/>
      <c r="J79" s="209"/>
      <c r="K79" s="209"/>
      <c r="L79" s="209"/>
      <c r="M79" s="209"/>
      <c r="N79" s="209"/>
    </row>
    <row r="80" spans="1:14" ht="17.25" customHeight="1">
      <c r="A80" s="209"/>
      <c r="B80" s="209"/>
      <c r="C80" s="209"/>
      <c r="D80" s="209"/>
      <c r="E80" s="209"/>
      <c r="F80" s="209"/>
      <c r="G80" s="209"/>
      <c r="H80" s="209"/>
      <c r="I80" s="209"/>
      <c r="J80" s="209"/>
      <c r="K80" s="209"/>
      <c r="L80" s="209"/>
      <c r="M80" s="209"/>
      <c r="N80" s="209"/>
    </row>
    <row r="81" spans="1:14" ht="17.25" customHeight="1">
      <c r="A81" s="209"/>
      <c r="B81" s="209"/>
      <c r="C81" s="209"/>
      <c r="D81" s="209"/>
      <c r="E81" s="209"/>
      <c r="F81" s="209"/>
      <c r="G81" s="209"/>
      <c r="H81" s="209"/>
      <c r="I81" s="209"/>
      <c r="J81" s="209"/>
      <c r="K81" s="209"/>
      <c r="L81" s="209"/>
      <c r="M81" s="209"/>
      <c r="N81" s="209"/>
    </row>
    <row r="82" spans="1:14" ht="17.25" customHeight="1">
      <c r="A82" s="209"/>
      <c r="B82" s="209"/>
      <c r="C82" s="209"/>
      <c r="D82" s="209"/>
      <c r="E82" s="209"/>
      <c r="F82" s="209"/>
      <c r="G82" s="209"/>
      <c r="H82" s="209"/>
      <c r="I82" s="209"/>
      <c r="J82" s="209"/>
      <c r="K82" s="209"/>
      <c r="L82" s="209"/>
      <c r="M82" s="209"/>
      <c r="N82" s="209"/>
    </row>
    <row r="83" spans="1:14" ht="17.25" customHeight="1">
      <c r="A83" s="209"/>
      <c r="B83" s="209"/>
      <c r="C83" s="209"/>
      <c r="D83" s="209"/>
      <c r="E83" s="209"/>
      <c r="F83" s="209"/>
      <c r="G83" s="209"/>
      <c r="H83" s="209"/>
      <c r="I83" s="209"/>
      <c r="J83" s="209"/>
      <c r="K83" s="209"/>
      <c r="L83" s="209"/>
      <c r="M83" s="209"/>
      <c r="N83" s="209"/>
    </row>
    <row r="84" spans="1:14" ht="17.25" customHeight="1">
      <c r="A84" s="209"/>
      <c r="B84" s="209"/>
      <c r="C84" s="209"/>
      <c r="D84" s="209"/>
      <c r="E84" s="209"/>
      <c r="F84" s="209"/>
      <c r="G84" s="209"/>
      <c r="H84" s="209"/>
      <c r="I84" s="209"/>
      <c r="J84" s="209"/>
      <c r="K84" s="209"/>
      <c r="L84" s="209"/>
      <c r="M84" s="209"/>
      <c r="N84" s="209"/>
    </row>
    <row r="85" spans="1:14" ht="17.25" customHeight="1">
      <c r="A85" s="209"/>
      <c r="B85" s="209"/>
      <c r="C85" s="209"/>
      <c r="D85" s="209"/>
      <c r="E85" s="209"/>
      <c r="F85" s="209"/>
      <c r="G85" s="209"/>
      <c r="H85" s="209"/>
      <c r="I85" s="209"/>
      <c r="J85" s="209"/>
      <c r="K85" s="209"/>
      <c r="L85" s="209"/>
      <c r="M85" s="209"/>
      <c r="N85" s="209"/>
    </row>
    <row r="86" spans="1:14" ht="17.25" customHeight="1">
      <c r="A86" s="209"/>
      <c r="B86" s="209"/>
      <c r="C86" s="209"/>
      <c r="D86" s="209"/>
      <c r="E86" s="209"/>
      <c r="F86" s="209"/>
      <c r="G86" s="209"/>
      <c r="H86" s="209"/>
      <c r="I86" s="209"/>
      <c r="J86" s="209"/>
      <c r="K86" s="209"/>
      <c r="L86" s="209"/>
      <c r="M86" s="209"/>
      <c r="N86" s="209"/>
    </row>
    <row r="87" spans="1:14" ht="17.25" customHeight="1">
      <c r="A87" s="209"/>
      <c r="B87" s="209"/>
      <c r="C87" s="209"/>
      <c r="D87" s="209"/>
      <c r="E87" s="209"/>
      <c r="F87" s="209"/>
      <c r="G87" s="209"/>
      <c r="H87" s="209"/>
      <c r="I87" s="209"/>
      <c r="J87" s="209"/>
      <c r="K87" s="209"/>
      <c r="L87" s="209"/>
      <c r="M87" s="209"/>
      <c r="N87" s="209"/>
    </row>
    <row r="88" spans="1:14" ht="17.25" customHeight="1">
      <c r="A88" s="209"/>
      <c r="B88" s="209"/>
      <c r="C88" s="209"/>
      <c r="D88" s="209"/>
      <c r="E88" s="209"/>
      <c r="F88" s="209"/>
      <c r="G88" s="209"/>
      <c r="H88" s="209"/>
      <c r="I88" s="209"/>
      <c r="J88" s="209"/>
      <c r="K88" s="209"/>
      <c r="L88" s="209"/>
      <c r="M88" s="209"/>
      <c r="N88" s="209"/>
    </row>
    <row r="89" spans="1:14" ht="17.25" customHeight="1">
      <c r="A89" s="209"/>
      <c r="B89" s="209"/>
      <c r="C89" s="209"/>
      <c r="D89" s="209"/>
      <c r="E89" s="209"/>
      <c r="F89" s="209"/>
      <c r="G89" s="209"/>
      <c r="H89" s="209"/>
      <c r="I89" s="209"/>
      <c r="J89" s="209"/>
      <c r="K89" s="209"/>
      <c r="L89" s="209"/>
      <c r="M89" s="209"/>
      <c r="N89" s="209"/>
    </row>
    <row r="90" spans="1:14" ht="17.25" customHeight="1">
      <c r="A90" s="209"/>
      <c r="B90" s="209"/>
      <c r="C90" s="209"/>
      <c r="D90" s="209"/>
      <c r="E90" s="209"/>
      <c r="F90" s="209"/>
      <c r="G90" s="209"/>
      <c r="H90" s="209"/>
      <c r="I90" s="209"/>
      <c r="J90" s="209"/>
      <c r="K90" s="209"/>
      <c r="L90" s="209"/>
      <c r="M90" s="209"/>
      <c r="N90" s="209"/>
    </row>
    <row r="91" spans="1:14" ht="17.25" customHeight="1">
      <c r="A91" s="209"/>
      <c r="B91" s="209"/>
      <c r="C91" s="209"/>
      <c r="D91" s="209"/>
      <c r="E91" s="209"/>
      <c r="F91" s="209"/>
      <c r="G91" s="209"/>
      <c r="H91" s="209"/>
      <c r="I91" s="209"/>
      <c r="J91" s="209"/>
      <c r="K91" s="209"/>
      <c r="L91" s="209"/>
      <c r="M91" s="209"/>
      <c r="N91" s="209"/>
    </row>
    <row r="92" spans="1:14" ht="17.25" customHeight="1">
      <c r="A92" s="209"/>
      <c r="B92" s="209"/>
      <c r="C92" s="209"/>
      <c r="D92" s="209"/>
      <c r="E92" s="209"/>
      <c r="F92" s="209"/>
      <c r="G92" s="209"/>
      <c r="H92" s="209"/>
      <c r="I92" s="209"/>
      <c r="J92" s="209"/>
      <c r="K92" s="209"/>
      <c r="L92" s="209"/>
      <c r="M92" s="209"/>
      <c r="N92" s="209"/>
    </row>
    <row r="93" spans="1:14" ht="17.25" customHeight="1">
      <c r="A93" s="209"/>
      <c r="B93" s="209"/>
      <c r="C93" s="209"/>
      <c r="D93" s="209"/>
      <c r="E93" s="209"/>
      <c r="F93" s="209"/>
      <c r="G93" s="209"/>
      <c r="H93" s="209"/>
      <c r="I93" s="209"/>
      <c r="J93" s="209"/>
      <c r="K93" s="209"/>
      <c r="L93" s="209"/>
      <c r="M93" s="209"/>
      <c r="N93" s="209"/>
    </row>
    <row r="94" spans="1:14" ht="17.25" customHeight="1">
      <c r="A94" s="209"/>
      <c r="B94" s="209"/>
      <c r="C94" s="209"/>
      <c r="D94" s="209"/>
      <c r="E94" s="209"/>
      <c r="F94" s="209"/>
      <c r="G94" s="209"/>
      <c r="H94" s="209"/>
      <c r="I94" s="209"/>
      <c r="J94" s="209"/>
      <c r="K94" s="209"/>
      <c r="L94" s="209"/>
      <c r="M94" s="209"/>
      <c r="N94" s="209"/>
    </row>
    <row r="95" spans="1:14" ht="17.25" customHeight="1">
      <c r="A95" s="209"/>
      <c r="B95" s="209"/>
      <c r="C95" s="209"/>
      <c r="D95" s="209"/>
      <c r="E95" s="209"/>
      <c r="F95" s="209"/>
      <c r="G95" s="209"/>
      <c r="H95" s="209"/>
      <c r="I95" s="209"/>
      <c r="J95" s="209"/>
      <c r="K95" s="209"/>
      <c r="L95" s="209"/>
      <c r="M95" s="209"/>
      <c r="N95" s="209"/>
    </row>
    <row r="96" spans="1:14" ht="17.25" customHeight="1">
      <c r="A96" s="209"/>
      <c r="B96" s="209"/>
      <c r="C96" s="209"/>
      <c r="D96" s="209"/>
      <c r="E96" s="209"/>
      <c r="F96" s="209"/>
      <c r="G96" s="209"/>
      <c r="H96" s="209"/>
      <c r="I96" s="209"/>
      <c r="J96" s="209"/>
      <c r="K96" s="209"/>
      <c r="L96" s="209"/>
      <c r="M96" s="209"/>
      <c r="N96" s="209"/>
    </row>
    <row r="97" spans="1:14" ht="17.25" customHeight="1">
      <c r="A97" s="209"/>
      <c r="B97" s="209"/>
      <c r="C97" s="209"/>
      <c r="D97" s="209"/>
      <c r="E97" s="209"/>
      <c r="F97" s="209"/>
      <c r="G97" s="209"/>
      <c r="H97" s="209"/>
      <c r="I97" s="209"/>
      <c r="J97" s="209"/>
      <c r="K97" s="209"/>
      <c r="L97" s="209"/>
      <c r="M97" s="209"/>
      <c r="N97" s="209"/>
    </row>
    <row r="98" spans="1:14" ht="17.25" customHeight="1">
      <c r="A98" s="209"/>
      <c r="B98" s="209"/>
      <c r="C98" s="209"/>
      <c r="D98" s="209"/>
      <c r="E98" s="209"/>
      <c r="F98" s="209"/>
      <c r="G98" s="209"/>
      <c r="H98" s="209"/>
      <c r="I98" s="209"/>
      <c r="J98" s="209"/>
      <c r="K98" s="209"/>
      <c r="L98" s="209"/>
      <c r="M98" s="209"/>
      <c r="N98" s="209"/>
    </row>
    <row r="99" spans="1:14" ht="17.25" customHeight="1">
      <c r="A99" s="209"/>
      <c r="B99" s="209"/>
      <c r="C99" s="209"/>
      <c r="D99" s="209"/>
      <c r="E99" s="209"/>
      <c r="F99" s="209"/>
      <c r="G99" s="209"/>
      <c r="H99" s="209"/>
      <c r="I99" s="209"/>
      <c r="J99" s="209"/>
      <c r="K99" s="209"/>
      <c r="L99" s="209"/>
      <c r="M99" s="209"/>
      <c r="N99" s="209"/>
    </row>
    <row r="100" spans="1:14" ht="17.25" customHeight="1">
      <c r="A100" s="209"/>
      <c r="B100" s="209"/>
      <c r="C100" s="209"/>
      <c r="D100" s="209"/>
      <c r="E100" s="209"/>
      <c r="F100" s="209"/>
      <c r="G100" s="209"/>
      <c r="H100" s="209"/>
      <c r="I100" s="209"/>
      <c r="J100" s="209"/>
      <c r="K100" s="209"/>
      <c r="L100" s="209"/>
      <c r="M100" s="209"/>
      <c r="N100" s="209"/>
    </row>
    <row r="101" spans="1:14" ht="17.25" customHeight="1">
      <c r="A101" s="209"/>
      <c r="B101" s="209"/>
      <c r="C101" s="209"/>
      <c r="D101" s="209"/>
      <c r="E101" s="209"/>
      <c r="F101" s="209"/>
      <c r="G101" s="209"/>
      <c r="H101" s="209"/>
      <c r="I101" s="209"/>
      <c r="J101" s="209"/>
      <c r="K101" s="209"/>
      <c r="L101" s="209"/>
      <c r="M101" s="209"/>
      <c r="N101" s="209"/>
    </row>
    <row r="102" spans="1:14" ht="17.25" customHeight="1">
      <c r="A102" s="209"/>
      <c r="B102" s="209"/>
      <c r="C102" s="209"/>
      <c r="D102" s="209"/>
      <c r="E102" s="209"/>
      <c r="F102" s="209"/>
      <c r="G102" s="209"/>
      <c r="H102" s="209"/>
      <c r="I102" s="209"/>
      <c r="J102" s="209"/>
      <c r="K102" s="209"/>
      <c r="L102" s="209"/>
      <c r="M102" s="209"/>
      <c r="N102" s="209"/>
    </row>
    <row r="103" spans="1:14" ht="17.25" customHeight="1">
      <c r="A103" s="209"/>
      <c r="B103" s="209"/>
      <c r="C103" s="209"/>
      <c r="D103" s="209"/>
      <c r="E103" s="209"/>
      <c r="F103" s="209"/>
      <c r="G103" s="209"/>
      <c r="H103" s="209"/>
      <c r="I103" s="209"/>
      <c r="J103" s="209"/>
      <c r="K103" s="209"/>
      <c r="L103" s="209"/>
      <c r="M103" s="209"/>
      <c r="N103" s="209"/>
    </row>
    <row r="104" spans="1:14" ht="17.25" customHeight="1">
      <c r="A104" s="209"/>
      <c r="B104" s="209"/>
      <c r="C104" s="209"/>
      <c r="D104" s="209"/>
      <c r="E104" s="209"/>
      <c r="F104" s="209"/>
      <c r="G104" s="209"/>
      <c r="H104" s="209"/>
      <c r="I104" s="209"/>
      <c r="J104" s="209"/>
      <c r="K104" s="209"/>
      <c r="L104" s="209"/>
      <c r="M104" s="209"/>
      <c r="N104" s="209"/>
    </row>
    <row r="105" spans="1:14" ht="17.25" customHeight="1">
      <c r="A105" s="209"/>
      <c r="B105" s="209"/>
      <c r="C105" s="209"/>
      <c r="D105" s="209"/>
      <c r="E105" s="209"/>
      <c r="F105" s="209"/>
      <c r="G105" s="209"/>
      <c r="H105" s="209"/>
      <c r="I105" s="209"/>
      <c r="J105" s="209"/>
      <c r="K105" s="209"/>
      <c r="L105" s="209"/>
      <c r="M105" s="209"/>
      <c r="N105" s="209"/>
    </row>
    <row r="106" spans="1:14" ht="17.25" customHeight="1">
      <c r="A106" s="209"/>
      <c r="B106" s="209"/>
      <c r="C106" s="209"/>
      <c r="D106" s="209"/>
      <c r="E106" s="209"/>
      <c r="F106" s="209"/>
      <c r="G106" s="209"/>
      <c r="H106" s="209"/>
      <c r="I106" s="209"/>
      <c r="J106" s="209"/>
      <c r="K106" s="209"/>
      <c r="L106" s="209"/>
      <c r="M106" s="209"/>
      <c r="N106" s="209"/>
    </row>
    <row r="107" spans="1:14" ht="17.25" customHeight="1">
      <c r="A107" s="209"/>
      <c r="B107" s="209"/>
      <c r="C107" s="209"/>
      <c r="D107" s="209"/>
      <c r="E107" s="209"/>
      <c r="F107" s="209"/>
      <c r="G107" s="209"/>
      <c r="H107" s="209"/>
      <c r="I107" s="209"/>
      <c r="J107" s="209"/>
      <c r="K107" s="209"/>
      <c r="L107" s="209"/>
      <c r="M107" s="209"/>
      <c r="N107" s="209"/>
    </row>
    <row r="108" spans="1:14" ht="17.25" customHeight="1">
      <c r="A108" s="209"/>
      <c r="B108" s="209"/>
      <c r="C108" s="209"/>
      <c r="D108" s="209"/>
      <c r="E108" s="209"/>
      <c r="F108" s="209"/>
      <c r="G108" s="209"/>
      <c r="H108" s="209"/>
      <c r="I108" s="209"/>
      <c r="J108" s="209"/>
      <c r="K108" s="209"/>
      <c r="L108" s="209"/>
      <c r="M108" s="209"/>
      <c r="N108" s="209"/>
    </row>
    <row r="109" spans="1:14" ht="17.25" customHeight="1">
      <c r="A109" s="209"/>
      <c r="B109" s="209"/>
      <c r="C109" s="209"/>
      <c r="D109" s="209"/>
      <c r="E109" s="209"/>
      <c r="F109" s="209"/>
      <c r="G109" s="209"/>
      <c r="H109" s="209"/>
      <c r="I109" s="209"/>
      <c r="J109" s="209"/>
      <c r="K109" s="209"/>
      <c r="L109" s="209"/>
      <c r="M109" s="209"/>
      <c r="N109" s="209"/>
    </row>
    <row r="110" spans="1:14" ht="17.25" customHeight="1">
      <c r="A110" s="209"/>
      <c r="B110" s="209"/>
      <c r="C110" s="209"/>
      <c r="D110" s="209"/>
      <c r="E110" s="209"/>
      <c r="F110" s="209"/>
      <c r="G110" s="209"/>
      <c r="H110" s="209"/>
      <c r="I110" s="209"/>
      <c r="J110" s="209"/>
      <c r="K110" s="209"/>
      <c r="L110" s="209"/>
      <c r="M110" s="209"/>
      <c r="N110" s="209"/>
    </row>
    <row r="111" spans="1:14" ht="17.25" customHeight="1">
      <c r="A111" s="209"/>
      <c r="B111" s="209"/>
      <c r="C111" s="209"/>
      <c r="D111" s="209"/>
      <c r="E111" s="209"/>
      <c r="F111" s="209"/>
      <c r="G111" s="209"/>
      <c r="H111" s="209"/>
      <c r="I111" s="209"/>
      <c r="J111" s="209"/>
      <c r="K111" s="209"/>
      <c r="L111" s="209"/>
      <c r="M111" s="209"/>
      <c r="N111" s="209"/>
    </row>
    <row r="112" spans="1:14" ht="17.25" customHeight="1">
      <c r="A112" s="209"/>
      <c r="B112" s="209"/>
      <c r="C112" s="209"/>
      <c r="D112" s="209"/>
      <c r="E112" s="209"/>
      <c r="F112" s="209"/>
      <c r="G112" s="209"/>
      <c r="H112" s="209"/>
      <c r="I112" s="209"/>
      <c r="J112" s="209"/>
      <c r="K112" s="209"/>
      <c r="L112" s="209"/>
      <c r="M112" s="209"/>
      <c r="N112" s="209"/>
    </row>
    <row r="113" spans="1:14" ht="17.25" customHeight="1">
      <c r="A113" s="209"/>
      <c r="B113" s="209"/>
      <c r="C113" s="209"/>
      <c r="D113" s="209"/>
      <c r="E113" s="209"/>
      <c r="F113" s="209"/>
      <c r="G113" s="209"/>
      <c r="H113" s="209"/>
      <c r="I113" s="209"/>
      <c r="J113" s="209"/>
      <c r="K113" s="209"/>
      <c r="L113" s="209"/>
      <c r="M113" s="209"/>
      <c r="N113" s="209"/>
    </row>
    <row r="114" spans="1:14" ht="17.25" customHeight="1">
      <c r="A114" s="209"/>
      <c r="B114" s="209"/>
      <c r="C114" s="209"/>
      <c r="D114" s="209"/>
      <c r="E114" s="209"/>
      <c r="F114" s="209"/>
      <c r="G114" s="209"/>
      <c r="H114" s="209"/>
      <c r="I114" s="209"/>
      <c r="J114" s="209"/>
      <c r="K114" s="209"/>
      <c r="L114" s="209"/>
      <c r="M114" s="209"/>
      <c r="N114" s="209"/>
    </row>
    <row r="115" spans="1:14" ht="17.25" customHeight="1">
      <c r="A115" s="209"/>
      <c r="B115" s="209"/>
      <c r="C115" s="209"/>
      <c r="D115" s="209"/>
      <c r="E115" s="209"/>
      <c r="F115" s="209"/>
      <c r="G115" s="209"/>
      <c r="H115" s="209"/>
      <c r="I115" s="209"/>
      <c r="J115" s="209"/>
      <c r="K115" s="209"/>
      <c r="L115" s="209"/>
      <c r="M115" s="209"/>
      <c r="N115" s="209"/>
    </row>
    <row r="116" spans="1:14" ht="17.25" customHeight="1">
      <c r="A116" s="209"/>
      <c r="B116" s="209"/>
      <c r="C116" s="209"/>
      <c r="D116" s="209"/>
      <c r="E116" s="209"/>
      <c r="F116" s="209"/>
      <c r="G116" s="209"/>
      <c r="H116" s="209"/>
      <c r="I116" s="209"/>
      <c r="J116" s="209"/>
      <c r="K116" s="209"/>
      <c r="L116" s="209"/>
      <c r="M116" s="209"/>
      <c r="N116" s="209"/>
    </row>
    <row r="117" spans="1:14" ht="17.25" customHeight="1">
      <c r="A117" s="209"/>
      <c r="B117" s="209"/>
      <c r="C117" s="209"/>
      <c r="D117" s="209"/>
      <c r="E117" s="209"/>
      <c r="F117" s="209"/>
      <c r="G117" s="209"/>
      <c r="H117" s="209"/>
      <c r="I117" s="209"/>
      <c r="J117" s="209"/>
      <c r="K117" s="209"/>
      <c r="L117" s="209"/>
      <c r="M117" s="209"/>
      <c r="N117" s="209"/>
    </row>
    <row r="118" spans="1:14" ht="17.25" customHeight="1">
      <c r="A118" s="209"/>
      <c r="B118" s="209"/>
      <c r="C118" s="209"/>
      <c r="D118" s="209"/>
      <c r="E118" s="209"/>
      <c r="F118" s="209"/>
      <c r="G118" s="209"/>
      <c r="H118" s="209"/>
      <c r="I118" s="209"/>
      <c r="J118" s="209"/>
      <c r="K118" s="209"/>
      <c r="L118" s="209"/>
      <c r="M118" s="209"/>
      <c r="N118" s="209"/>
    </row>
    <row r="119" spans="1:14" ht="17.25" customHeight="1">
      <c r="A119" s="209"/>
      <c r="B119" s="209"/>
      <c r="C119" s="209"/>
      <c r="D119" s="209"/>
      <c r="E119" s="209"/>
      <c r="F119" s="209"/>
      <c r="G119" s="209"/>
      <c r="H119" s="209"/>
      <c r="I119" s="209"/>
      <c r="J119" s="209"/>
      <c r="K119" s="209"/>
      <c r="L119" s="209"/>
      <c r="M119" s="209"/>
      <c r="N119" s="209"/>
    </row>
    <row r="120" spans="1:14" ht="17.25" customHeight="1">
      <c r="A120" s="209"/>
      <c r="B120" s="209"/>
      <c r="C120" s="209"/>
      <c r="D120" s="209"/>
      <c r="E120" s="209"/>
      <c r="F120" s="209"/>
      <c r="G120" s="209"/>
      <c r="H120" s="209"/>
      <c r="I120" s="209"/>
      <c r="J120" s="209"/>
      <c r="K120" s="209"/>
      <c r="L120" s="209"/>
      <c r="M120" s="209"/>
      <c r="N120" s="209"/>
    </row>
    <row r="121" spans="1:14" ht="17.25" customHeight="1">
      <c r="A121" s="209"/>
      <c r="B121" s="209"/>
      <c r="C121" s="209"/>
      <c r="D121" s="209"/>
      <c r="E121" s="209"/>
      <c r="F121" s="209"/>
      <c r="G121" s="209"/>
      <c r="H121" s="209"/>
      <c r="I121" s="209"/>
      <c r="J121" s="209"/>
      <c r="K121" s="209"/>
      <c r="L121" s="209"/>
      <c r="M121" s="209"/>
      <c r="N121" s="209"/>
    </row>
    <row r="122" spans="1:14" ht="17.25" customHeight="1"/>
  </sheetData>
  <sheetProtection algorithmName="SHA-512" hashValue="94/xqsfXqVwv/r/3nbEatfSUU/vEQEoy5Wuf2lu+QQXEQ0PrkWQfkh5auoaXXN+7ZvCKydK5+Q25QT1beIcfrA==" saltValue="4QLaPwevxKIq9+MzJuzLbw==" spinCount="100000" sheet="1" objects="1" scenarios="1"/>
  <hyperlinks>
    <hyperlink ref="C5" r:id="rId1" tooltip="Aus der Praxis für die Praxis" xr:uid="{F4243DD8-D8FF-4432-AC09-03E5E76211D4}"/>
    <hyperlink ref="D57" r:id="rId2" xr:uid="{39690222-E494-4D6F-890C-33DB98CE91D8}"/>
    <hyperlink ref="D58" r:id="rId3" xr:uid="{2B0EA3CA-D4E8-4B17-B21B-95591ED33222}"/>
  </hyperlinks>
  <printOptions horizontalCentered="1"/>
  <pageMargins left="0.70866141732283472" right="0.70866141732283472" top="0.70866141732283472" bottom="0.70866141732283472" header="0.31496062992125984" footer="0.31496062992125984"/>
  <pageSetup paperSize="9" scale="73" orientation="portrait"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MLS_Fimovi_Annahmen">
    <tabColor rgb="FFFFFF00"/>
  </sheetPr>
  <dimension ref="A1:AH78"/>
  <sheetViews>
    <sheetView showGridLines="0" tabSelected="1" zoomScale="115" zoomScaleNormal="115" zoomScaleSheetLayoutView="85" workbookViewId="0">
      <pane ySplit="1" topLeftCell="A2" activePane="bottomLeft" state="frozenSplit"/>
      <selection pane="bottomLeft" activeCell="A2" sqref="A2"/>
    </sheetView>
  </sheetViews>
  <sheetFormatPr baseColWidth="10" defaultColWidth="0" defaultRowHeight="12.75" outlineLevelRow="2"/>
  <cols>
    <col min="1" max="1" width="4" customWidth="1"/>
    <col min="2" max="2" width="4.7109375" customWidth="1"/>
    <col min="3" max="3" width="52.28515625" customWidth="1"/>
    <col min="4" max="4" width="15.140625" customWidth="1"/>
    <col min="5" max="5" width="23.42578125" customWidth="1"/>
    <col min="6" max="8" width="17.85546875" customWidth="1"/>
    <col min="9" max="10" width="22.28515625" customWidth="1"/>
    <col min="11" max="11" width="13.140625" customWidth="1"/>
    <col min="12" max="12" width="13.28515625" customWidth="1"/>
    <col min="13" max="14" width="12.7109375" customWidth="1"/>
    <col min="15" max="33" width="12.7109375" hidden="1" customWidth="1"/>
    <col min="34" max="34" width="10.42578125" hidden="1" customWidth="1"/>
    <col min="35" max="16384" width="11.42578125" hidden="1"/>
  </cols>
  <sheetData>
    <row r="1" spans="1:34" ht="28.5" customHeight="1">
      <c r="A1" s="40"/>
      <c r="B1" s="40"/>
      <c r="C1" s="40" t="str">
        <f>"Annahmen: " &amp;Name_Projekt</f>
        <v>Annahmen: Neubau ETW (Hauptstr. 45)</v>
      </c>
      <c r="D1" s="40"/>
      <c r="E1" s="40"/>
      <c r="F1" s="40"/>
      <c r="G1" s="40"/>
      <c r="H1" s="40"/>
      <c r="I1" s="40"/>
      <c r="J1" s="40"/>
      <c r="K1" s="40"/>
      <c r="L1" s="40"/>
      <c r="M1" s="40"/>
      <c r="N1" s="40"/>
    </row>
    <row r="2" spans="1:34" ht="10.5" customHeight="1">
      <c r="A2" s="172"/>
      <c r="B2" s="4"/>
      <c r="C2" s="4"/>
      <c r="D2" s="4"/>
      <c r="E2" s="4"/>
      <c r="F2" s="4"/>
      <c r="G2" s="4"/>
      <c r="H2" s="4"/>
      <c r="I2" s="39"/>
      <c r="J2" s="39"/>
      <c r="K2" s="39"/>
      <c r="L2" s="39"/>
      <c r="M2" s="39"/>
    </row>
    <row r="3" spans="1:34" ht="26.25" customHeight="1">
      <c r="B3" s="3" t="s">
        <v>127</v>
      </c>
      <c r="C3" s="3" t="s">
        <v>164</v>
      </c>
      <c r="F3" s="173" t="s">
        <v>163</v>
      </c>
      <c r="G3" s="174"/>
    </row>
    <row r="4" spans="1:34" ht="12" customHeight="1" outlineLevel="1">
      <c r="C4" s="39"/>
      <c r="F4" s="9"/>
    </row>
    <row r="5" spans="1:34" ht="17.25" customHeight="1" outlineLevel="1">
      <c r="C5" t="s">
        <v>147</v>
      </c>
      <c r="E5" s="9" t="s">
        <v>136</v>
      </c>
      <c r="F5" s="100" t="s">
        <v>281</v>
      </c>
      <c r="G5" s="77"/>
    </row>
    <row r="6" spans="1:34" ht="17.25" customHeight="1" outlineLevel="1">
      <c r="C6" s="39" t="s">
        <v>146</v>
      </c>
      <c r="E6" s="9" t="s">
        <v>203</v>
      </c>
      <c r="F6" s="94" t="str">
        <f ca="1">MID(CELL("Filename",$A$1),SEARCH("[",CELL("Filename",$A$1))+1,SEARCH("]",CELL("Filename",$A$1))-SEARCH("[",CELL("Filename",$A$1))-1)</f>
        <v>Tutorial_Neubau-Immobilien_Renditekalkulator_(final 1).xlsx</v>
      </c>
      <c r="G6" s="95"/>
      <c r="H6" s="95"/>
      <c r="I6" s="96"/>
    </row>
    <row r="7" spans="1:34" ht="12" customHeight="1" outlineLevel="1">
      <c r="C7" s="39"/>
      <c r="G7" s="9"/>
    </row>
    <row r="8" spans="1:34" ht="17.25" customHeight="1" outlineLevel="1">
      <c r="C8" s="39" t="s">
        <v>148</v>
      </c>
      <c r="E8" s="9" t="s">
        <v>136</v>
      </c>
      <c r="F8" s="66" t="s">
        <v>178</v>
      </c>
      <c r="G8" s="9"/>
    </row>
    <row r="9" spans="1:34" ht="17.25" customHeight="1" outlineLevel="1">
      <c r="C9" s="39" t="s">
        <v>177</v>
      </c>
      <c r="E9" s="9" t="s">
        <v>86</v>
      </c>
      <c r="F9" s="103">
        <v>46037</v>
      </c>
      <c r="G9" s="9"/>
    </row>
    <row r="10" spans="1:34" ht="12" customHeight="1" outlineLevel="1">
      <c r="C10" s="39"/>
      <c r="G10" s="9"/>
    </row>
    <row r="11" spans="1:34" ht="17.25" customHeight="1" outlineLevel="1">
      <c r="C11" s="37" t="s">
        <v>149</v>
      </c>
      <c r="E11" s="9" t="s">
        <v>135</v>
      </c>
      <c r="F11" s="102" t="s">
        <v>6</v>
      </c>
      <c r="G11" s="81" t="s">
        <v>150</v>
      </c>
    </row>
    <row r="12" spans="1:34" ht="12" customHeight="1" outlineLevel="1">
      <c r="A12" s="46"/>
      <c r="C12" s="39"/>
    </row>
    <row r="13" spans="1:34" ht="26.25" customHeight="1">
      <c r="A13" s="46"/>
      <c r="B13" s="3" t="s">
        <v>211</v>
      </c>
      <c r="C13" s="3" t="s">
        <v>237</v>
      </c>
      <c r="H13" s="188"/>
    </row>
    <row r="14" spans="1:34" ht="18.75" customHeight="1" outlineLevel="1">
      <c r="A14" s="46"/>
      <c r="B14" s="175" t="s">
        <v>282</v>
      </c>
      <c r="C14" s="4" t="s">
        <v>300</v>
      </c>
      <c r="F14" s="82"/>
      <c r="G14" s="82"/>
      <c r="I14" s="151"/>
      <c r="J14" s="82"/>
      <c r="AH14" s="82"/>
    </row>
    <row r="15" spans="1:34" ht="18.75" customHeight="1" outlineLevel="2">
      <c r="A15" s="46"/>
      <c r="C15" s="143" t="s">
        <v>220</v>
      </c>
      <c r="E15" s="9" t="str">
        <f>currency</f>
        <v>EUR</v>
      </c>
      <c r="F15" s="71">
        <v>390000</v>
      </c>
      <c r="G15" s="74" t="s">
        <v>221</v>
      </c>
      <c r="I15" s="151"/>
      <c r="J15" s="82"/>
      <c r="AH15" s="82"/>
    </row>
    <row r="16" spans="1:34" ht="18.75" customHeight="1" outlineLevel="2">
      <c r="A16" s="46"/>
      <c r="C16" s="176" t="s">
        <v>272</v>
      </c>
      <c r="E16" s="9" t="str">
        <f>currency</f>
        <v>EUR</v>
      </c>
      <c r="F16" s="71">
        <v>20000</v>
      </c>
      <c r="G16" s="74" t="s">
        <v>274</v>
      </c>
      <c r="I16" s="82"/>
      <c r="J16" s="192"/>
      <c r="AH16" s="82"/>
    </row>
    <row r="17" spans="1:34" ht="18.75" customHeight="1" outlineLevel="2">
      <c r="A17" s="46"/>
      <c r="C17" s="176" t="s">
        <v>273</v>
      </c>
      <c r="E17" s="9" t="str">
        <f>currency</f>
        <v>EUR</v>
      </c>
      <c r="F17" s="71">
        <v>300000</v>
      </c>
      <c r="G17" s="74" t="s">
        <v>222</v>
      </c>
      <c r="I17" s="151"/>
      <c r="J17" s="82"/>
      <c r="AH17" s="82"/>
    </row>
    <row r="18" spans="1:34" ht="18.75" customHeight="1" outlineLevel="2">
      <c r="A18" s="46"/>
      <c r="C18" s="74" t="s">
        <v>214</v>
      </c>
      <c r="E18" s="9" t="s">
        <v>215</v>
      </c>
      <c r="F18" s="134">
        <v>75</v>
      </c>
      <c r="G18" s="74"/>
      <c r="I18" s="99" t="s">
        <v>290</v>
      </c>
      <c r="J18" s="99" t="s">
        <v>291</v>
      </c>
      <c r="AH18" s="82"/>
    </row>
    <row r="19" spans="1:34" ht="18.75" customHeight="1" outlineLevel="2">
      <c r="A19" s="46"/>
      <c r="C19" s="74" t="s">
        <v>224</v>
      </c>
      <c r="E19" s="9" t="str">
        <f>currency &amp;" pro qm"</f>
        <v>EUR pro qm</v>
      </c>
      <c r="F19" s="134">
        <v>17</v>
      </c>
      <c r="G19" s="74" t="s">
        <v>230</v>
      </c>
      <c r="I19" s="158">
        <f>F18*F19</f>
        <v>1275</v>
      </c>
      <c r="J19" s="158">
        <f>Monate_Jahr*I19</f>
        <v>15300</v>
      </c>
      <c r="AH19" s="82"/>
    </row>
    <row r="20" spans="1:34" ht="18.75" customHeight="1" outlineLevel="2">
      <c r="A20" s="46"/>
      <c r="C20" s="74" t="s">
        <v>269</v>
      </c>
      <c r="E20" s="9" t="s">
        <v>104</v>
      </c>
      <c r="F20" s="144">
        <v>1.4999999999999999E-2</v>
      </c>
      <c r="G20" s="74" t="s">
        <v>293</v>
      </c>
      <c r="I20" s="99" t="s">
        <v>290</v>
      </c>
      <c r="J20" s="99" t="s">
        <v>291</v>
      </c>
      <c r="AH20" s="82"/>
    </row>
    <row r="21" spans="1:34" ht="18.75" customHeight="1" outlineLevel="2">
      <c r="A21" s="46"/>
      <c r="C21" s="74" t="s">
        <v>229</v>
      </c>
      <c r="E21" s="9" t="str">
        <f>currency &amp;" pro qm u. Jahr"</f>
        <v>EUR pro qm u. Jahr</v>
      </c>
      <c r="F21" s="134">
        <v>14</v>
      </c>
      <c r="G21" s="74" t="s">
        <v>231</v>
      </c>
      <c r="I21" s="158">
        <f>J21/Monate_Jahr</f>
        <v>87.5</v>
      </c>
      <c r="J21" s="158">
        <f>F18*F21</f>
        <v>1050</v>
      </c>
      <c r="AH21" s="82"/>
    </row>
    <row r="22" spans="1:34" ht="12" customHeight="1" outlineLevel="2">
      <c r="A22" s="46"/>
      <c r="C22" s="74"/>
      <c r="F22" s="82"/>
      <c r="G22" s="82"/>
      <c r="I22" s="82"/>
      <c r="J22" s="82"/>
      <c r="AH22" s="82"/>
    </row>
    <row r="23" spans="1:34" ht="18.75" customHeight="1" outlineLevel="2">
      <c r="A23" s="46"/>
      <c r="C23" s="74" t="s">
        <v>294</v>
      </c>
      <c r="E23" s="9" t="s">
        <v>104</v>
      </c>
      <c r="F23" s="144">
        <v>1.4999999999999999E-2</v>
      </c>
      <c r="G23" s="74" t="s">
        <v>292</v>
      </c>
      <c r="I23" s="191"/>
      <c r="J23" s="191"/>
      <c r="K23" s="191"/>
      <c r="AH23" s="82"/>
    </row>
    <row r="24" spans="1:34" ht="18.75" customHeight="1" outlineLevel="2">
      <c r="A24" s="46"/>
      <c r="C24" s="74" t="s">
        <v>313</v>
      </c>
      <c r="E24" s="9" t="s">
        <v>104</v>
      </c>
      <c r="F24" s="144">
        <v>0.02</v>
      </c>
      <c r="G24" s="74" t="s">
        <v>292</v>
      </c>
      <c r="I24" s="191"/>
      <c r="J24" s="191"/>
      <c r="K24" s="191"/>
      <c r="AH24" s="82"/>
    </row>
    <row r="25" spans="1:34" ht="18.75" customHeight="1" outlineLevel="2">
      <c r="A25" s="46"/>
      <c r="C25" s="74"/>
      <c r="F25" s="82"/>
      <c r="G25" s="82"/>
      <c r="I25" s="82"/>
      <c r="J25" s="191"/>
      <c r="AH25" s="82"/>
    </row>
    <row r="26" spans="1:34" ht="18.75" customHeight="1" outlineLevel="1">
      <c r="A26" s="46"/>
      <c r="B26" s="175" t="s">
        <v>283</v>
      </c>
      <c r="C26" s="4" t="s">
        <v>223</v>
      </c>
      <c r="F26" s="82"/>
      <c r="G26" s="82"/>
      <c r="I26" s="82"/>
      <c r="J26" s="82"/>
      <c r="AH26" s="82"/>
    </row>
    <row r="27" spans="1:34" ht="18.75" customHeight="1" outlineLevel="2">
      <c r="A27" s="46"/>
      <c r="C27" s="154" t="s">
        <v>289</v>
      </c>
      <c r="E27" s="9" t="str">
        <f>currency</f>
        <v>EUR</v>
      </c>
      <c r="F27" s="71">
        <v>50000</v>
      </c>
      <c r="G27" s="82"/>
      <c r="I27" s="82"/>
      <c r="J27" s="82"/>
      <c r="AH27" s="82"/>
    </row>
    <row r="28" spans="1:34" ht="11.25" customHeight="1" outlineLevel="2">
      <c r="A28" s="46"/>
      <c r="F28" s="82"/>
      <c r="G28" s="82"/>
      <c r="I28" s="82"/>
      <c r="J28" s="82"/>
      <c r="AH28" s="82"/>
    </row>
    <row r="29" spans="1:34" ht="18.75" customHeight="1" outlineLevel="2">
      <c r="A29" s="46"/>
      <c r="C29" s="154" t="s">
        <v>288</v>
      </c>
      <c r="E29" s="9" t="str">
        <f>currency</f>
        <v>EUR</v>
      </c>
      <c r="F29" s="71">
        <v>100000</v>
      </c>
      <c r="G29" s="74"/>
      <c r="I29" s="82"/>
      <c r="J29" s="82"/>
      <c r="AH29" s="82"/>
    </row>
    <row r="30" spans="1:34" ht="18.75" customHeight="1" outlineLevel="2">
      <c r="A30" s="46"/>
      <c r="C30" s="176" t="s">
        <v>236</v>
      </c>
      <c r="E30" s="9" t="s">
        <v>151</v>
      </c>
      <c r="F30" s="109">
        <v>10</v>
      </c>
      <c r="G30" s="74" t="s">
        <v>309</v>
      </c>
      <c r="I30" s="82"/>
      <c r="J30" s="82"/>
      <c r="AH30" s="82"/>
    </row>
    <row r="31" spans="1:34" ht="18.75" customHeight="1" outlineLevel="2">
      <c r="A31" s="46"/>
      <c r="C31" s="176" t="s">
        <v>226</v>
      </c>
      <c r="E31" s="9" t="s">
        <v>104</v>
      </c>
      <c r="F31" s="144">
        <v>1.1299999999999999E-2</v>
      </c>
      <c r="G31" s="82"/>
      <c r="I31" s="82"/>
      <c r="J31" s="82"/>
      <c r="AH31" s="82"/>
    </row>
    <row r="32" spans="1:34" ht="11.25" customHeight="1" outlineLevel="2">
      <c r="A32" s="46"/>
      <c r="F32" s="82"/>
      <c r="G32" s="82"/>
      <c r="I32" s="82"/>
      <c r="J32" s="82"/>
      <c r="AH32" s="82"/>
    </row>
    <row r="33" spans="1:34" ht="18.75" customHeight="1" outlineLevel="2">
      <c r="A33" s="46"/>
      <c r="C33" s="154" t="s">
        <v>287</v>
      </c>
      <c r="E33" s="9" t="str">
        <f>currency</f>
        <v>EUR</v>
      </c>
      <c r="F33" s="71">
        <v>240000</v>
      </c>
      <c r="G33" s="82"/>
      <c r="I33" s="82"/>
      <c r="J33" s="82"/>
      <c r="AH33" s="82"/>
    </row>
    <row r="34" spans="1:34" ht="18.75" customHeight="1" outlineLevel="2">
      <c r="A34" s="46"/>
      <c r="C34" s="176" t="s">
        <v>236</v>
      </c>
      <c r="E34" s="9" t="s">
        <v>151</v>
      </c>
      <c r="F34" s="109">
        <v>10</v>
      </c>
      <c r="G34" s="82"/>
      <c r="I34" s="82"/>
      <c r="J34" s="82"/>
      <c r="K34" s="182"/>
      <c r="AH34" s="82"/>
    </row>
    <row r="35" spans="1:34" ht="18.75" customHeight="1" outlineLevel="2">
      <c r="A35" s="46"/>
      <c r="C35" s="176" t="s">
        <v>308</v>
      </c>
      <c r="E35" s="9" t="s">
        <v>104</v>
      </c>
      <c r="F35" s="144">
        <v>0.02</v>
      </c>
      <c r="G35" s="70" t="s">
        <v>244</v>
      </c>
      <c r="H35" s="62">
        <f>F33*F35</f>
        <v>4800</v>
      </c>
      <c r="I35" s="9" t="str">
        <f>currency &amp;" p.a. =&gt; Annuität =&gt;"</f>
        <v>EUR p.a. =&gt; Annuität =&gt;</v>
      </c>
      <c r="J35" s="62">
        <f>F33*(F36+F35)</f>
        <v>14160</v>
      </c>
      <c r="K35" s="9" t="str">
        <f>currency</f>
        <v>EUR</v>
      </c>
      <c r="AH35" s="82"/>
    </row>
    <row r="36" spans="1:34" ht="18.75" customHeight="1" outlineLevel="2">
      <c r="A36" s="46"/>
      <c r="C36" s="176" t="s">
        <v>226</v>
      </c>
      <c r="E36" s="9" t="s">
        <v>104</v>
      </c>
      <c r="F36" s="144">
        <v>3.9E-2</v>
      </c>
      <c r="G36" s="82"/>
      <c r="I36" s="82"/>
      <c r="J36" s="82"/>
      <c r="AH36" s="82"/>
    </row>
    <row r="37" spans="1:34" ht="18.75" customHeight="1" outlineLevel="2">
      <c r="A37" s="46"/>
      <c r="C37" s="176" t="s">
        <v>228</v>
      </c>
      <c r="F37" s="45">
        <f>F15-(F27+F29+F33)</f>
        <v>0</v>
      </c>
      <c r="G37" s="70" t="s">
        <v>312</v>
      </c>
      <c r="H37" s="62">
        <f>F37</f>
        <v>0</v>
      </c>
      <c r="I37" s="181" t="str">
        <f>IF(H37&lt;0,"Gesamtfinanzierungsbetrag zu hoch",IF(H37&gt;0,"Gesamtfinanzierungsbetrag zu gering",""))</f>
        <v/>
      </c>
      <c r="J37" s="82"/>
      <c r="AH37" s="82"/>
    </row>
    <row r="38" spans="1:34" ht="18.75" customHeight="1" outlineLevel="2">
      <c r="A38" s="46"/>
      <c r="F38" s="82"/>
      <c r="G38" s="82"/>
      <c r="I38" s="82"/>
      <c r="J38" s="82"/>
      <c r="AH38" s="82"/>
    </row>
    <row r="39" spans="1:34" ht="18.75" customHeight="1" outlineLevel="1">
      <c r="B39" s="175" t="s">
        <v>284</v>
      </c>
      <c r="C39" s="75" t="s">
        <v>247</v>
      </c>
      <c r="F39" s="82"/>
      <c r="G39" s="82"/>
      <c r="I39" s="82"/>
      <c r="J39" s="82"/>
      <c r="AH39" s="82"/>
    </row>
    <row r="40" spans="1:34" ht="18.75" customHeight="1" outlineLevel="2">
      <c r="C40" s="143" t="s">
        <v>301</v>
      </c>
      <c r="E40" s="9" t="s">
        <v>246</v>
      </c>
      <c r="F40" s="160">
        <v>0.443</v>
      </c>
      <c r="G40" s="143" t="s">
        <v>302</v>
      </c>
      <c r="I40" s="82"/>
      <c r="J40" s="82"/>
      <c r="AH40" s="82"/>
    </row>
    <row r="41" spans="1:34" ht="18.75" customHeight="1" outlineLevel="2">
      <c r="F41" s="82"/>
      <c r="G41" s="82"/>
      <c r="I41" s="82"/>
      <c r="J41" s="82"/>
      <c r="AH41" s="82"/>
    </row>
    <row r="42" spans="1:34" ht="18.75" customHeight="1" outlineLevel="1">
      <c r="B42" s="175" t="s">
        <v>285</v>
      </c>
      <c r="C42" s="75" t="s">
        <v>232</v>
      </c>
      <c r="F42" s="82"/>
      <c r="G42" s="82"/>
      <c r="I42" s="82"/>
      <c r="J42" s="82"/>
      <c r="AH42" s="82"/>
    </row>
    <row r="43" spans="1:34" ht="18.75" customHeight="1" outlineLevel="2">
      <c r="C43" s="39" t="s">
        <v>209</v>
      </c>
      <c r="E43" s="9" t="s">
        <v>210</v>
      </c>
      <c r="F43" s="133">
        <v>46023</v>
      </c>
      <c r="G43" s="98" t="s">
        <v>200</v>
      </c>
      <c r="H43" s="104">
        <f>12-MONTH(F43)+1</f>
        <v>12</v>
      </c>
      <c r="I43" s="98"/>
      <c r="AH43" s="82"/>
    </row>
    <row r="44" spans="1:34" ht="18.75" customHeight="1" outlineLevel="2">
      <c r="C44" t="s">
        <v>213</v>
      </c>
      <c r="E44" s="9" t="s">
        <v>151</v>
      </c>
      <c r="F44" s="132">
        <f>1/3%</f>
        <v>33.333333333333336</v>
      </c>
      <c r="G44" s="82"/>
      <c r="AH44" s="82"/>
    </row>
    <row r="45" spans="1:34" ht="18.75" customHeight="1" outlineLevel="2">
      <c r="C45" t="s">
        <v>181</v>
      </c>
      <c r="E45" s="9" t="s">
        <v>104</v>
      </c>
      <c r="F45" s="108">
        <v>0.05</v>
      </c>
      <c r="G45" s="143" t="str">
        <f>"sobald die degr. AfA geringer ist als die lineare mit " &amp;TEXT(1/$F$44,"0,0%") &amp;" p.a., wird automat. zur linearen AfA gewechselt"</f>
        <v>sobald die degr. AfA geringer ist als die lineare mit 3,0% p.a., wird automat. zur linearen AfA gewechselt</v>
      </c>
      <c r="AH45" s="82"/>
    </row>
    <row r="46" spans="1:34" ht="18.75" customHeight="1" outlineLevel="2">
      <c r="F46" s="82"/>
      <c r="G46" s="82"/>
      <c r="I46" s="75"/>
      <c r="J46" s="82"/>
      <c r="AH46" s="82"/>
    </row>
    <row r="47" spans="1:34" ht="18.75" customHeight="1" outlineLevel="1">
      <c r="B47" s="175" t="s">
        <v>286</v>
      </c>
      <c r="C47" s="75" t="s">
        <v>259</v>
      </c>
      <c r="F47" s="82"/>
      <c r="I47" s="75"/>
      <c r="J47" s="82"/>
      <c r="AH47" s="82"/>
    </row>
    <row r="48" spans="1:34" ht="18.75" customHeight="1" outlineLevel="2">
      <c r="C48" t="s">
        <v>258</v>
      </c>
      <c r="E48" s="63" t="s">
        <v>159</v>
      </c>
      <c r="F48" s="89">
        <v>0</v>
      </c>
      <c r="G48" s="143" t="s">
        <v>317</v>
      </c>
      <c r="AH48" s="82"/>
    </row>
    <row r="49" spans="3:34" ht="18.75" customHeight="1" outlineLevel="2">
      <c r="C49" s="186" t="s">
        <v>316</v>
      </c>
      <c r="E49" s="63"/>
      <c r="F49" s="63"/>
      <c r="G49" s="180" t="s">
        <v>303</v>
      </c>
      <c r="H49" s="82"/>
      <c r="AH49" s="82"/>
    </row>
    <row r="50" spans="3:34" ht="18.75" customHeight="1" outlineLevel="2">
      <c r="C50" s="143" t="s">
        <v>201</v>
      </c>
      <c r="E50" s="9" t="str">
        <f>currency &amp;"/qm Wohnfl."</f>
        <v>EUR/qm Wohnfl.</v>
      </c>
      <c r="F50" s="193">
        <v>5200</v>
      </c>
      <c r="G50" s="124" t="s">
        <v>202</v>
      </c>
      <c r="H50" s="62">
        <f>F50*F53*Sonder_AfA_an</f>
        <v>0</v>
      </c>
      <c r="I50" s="90" t="str">
        <f>IF(AND(F15&gt;H50,Sonder_AfA_an=1)," Baukostenobergrenze überschritten =&gt; Sonder-AfA nicht zulässig","")</f>
        <v/>
      </c>
      <c r="AH50" s="82"/>
    </row>
    <row r="51" spans="3:34" ht="18.75" customHeight="1" outlineLevel="2">
      <c r="C51" s="143" t="s">
        <v>318</v>
      </c>
      <c r="E51" s="9" t="str">
        <f>currency &amp;"/qm Wohnfl."</f>
        <v>EUR/qm Wohnfl.</v>
      </c>
      <c r="F51" s="158">
        <f>IFERROR(F15/F18,0)*Sonder_AfA_an</f>
        <v>0</v>
      </c>
      <c r="G51" s="143"/>
      <c r="H51" s="82"/>
      <c r="AH51" s="82"/>
    </row>
    <row r="52" spans="3:34" ht="18.75" customHeight="1" outlineLevel="2">
      <c r="C52" s="186" t="s">
        <v>311</v>
      </c>
      <c r="F52" s="82"/>
      <c r="G52" s="82"/>
      <c r="H52" s="82"/>
      <c r="I52" s="82"/>
      <c r="J52" s="82"/>
      <c r="S52" s="128"/>
      <c r="AH52" s="82"/>
    </row>
    <row r="53" spans="3:34" ht="18.75" customHeight="1" outlineLevel="2">
      <c r="C53" s="74" t="s">
        <v>214</v>
      </c>
      <c r="E53" s="9" t="s">
        <v>215</v>
      </c>
      <c r="F53" s="142">
        <f>F18</f>
        <v>75</v>
      </c>
      <c r="G53" s="82"/>
      <c r="H53" s="82"/>
      <c r="I53" s="82"/>
      <c r="S53" s="128"/>
      <c r="AH53" s="82"/>
    </row>
    <row r="54" spans="3:34" ht="18.75" customHeight="1" outlineLevel="2">
      <c r="C54" s="143" t="s">
        <v>201</v>
      </c>
      <c r="E54" s="9" t="str">
        <f>currency &amp;"/qm Wohnfl."</f>
        <v>EUR/qm Wohnfl.</v>
      </c>
      <c r="F54" s="193">
        <v>4000</v>
      </c>
      <c r="G54" s="124" t="s">
        <v>202</v>
      </c>
      <c r="H54" s="62">
        <f>F54*F53*Sonder_AfA_an</f>
        <v>0</v>
      </c>
      <c r="I54" s="64" t="str">
        <f>currency &amp;" für"</f>
        <v>EUR für</v>
      </c>
      <c r="J54" s="187">
        <f>F53*Sonder_AfA_an</f>
        <v>0</v>
      </c>
      <c r="K54" s="46" t="s">
        <v>199</v>
      </c>
      <c r="S54" s="128"/>
      <c r="AH54" s="82"/>
    </row>
    <row r="55" spans="3:34" ht="18.75" customHeight="1" outlineLevel="2">
      <c r="C55" s="143" t="s">
        <v>212</v>
      </c>
      <c r="E55" s="9" t="str">
        <f>currency</f>
        <v>EUR</v>
      </c>
      <c r="F55" s="49">
        <f>F17</f>
        <v>300000</v>
      </c>
      <c r="G55" s="64" t="s">
        <v>180</v>
      </c>
      <c r="H55" s="93">
        <f>IFERROR(MIN(1,H54/F55),0)</f>
        <v>0</v>
      </c>
      <c r="I55" s="90" t="str">
        <f>IF(AND(F55&lt;&gt;0,H55&lt;1,Sonder_AfA_an=1)," Förderhöchstgrenze überschritten =&gt; Automat. Deckelung der Bemessungsgrundlage für Sonder-AfA","")</f>
        <v/>
      </c>
      <c r="J55" s="82"/>
      <c r="S55" s="128"/>
      <c r="AH55" s="82"/>
    </row>
    <row r="56" spans="3:34" ht="18.75" customHeight="1" outlineLevel="1">
      <c r="C56" s="75"/>
    </row>
    <row r="57" spans="3:34" ht="18.75" customHeight="1"/>
    <row r="58" spans="3:34" ht="18.75" customHeight="1"/>
    <row r="59" spans="3:34" ht="18.75" customHeight="1">
      <c r="C59" s="75"/>
    </row>
    <row r="60" spans="3:34" ht="18.75" customHeight="1">
      <c r="C60" s="75"/>
    </row>
    <row r="61" spans="3:34" ht="18.75" customHeight="1"/>
    <row r="62" spans="3:34" ht="18.75" customHeight="1"/>
    <row r="63" spans="3:34" ht="18.75" customHeight="1"/>
    <row r="64" spans="3:3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sheetData>
  <customSheetViews>
    <customSheetView guid="{467270F0-7CE1-4C79-8222-3E2937E865F0}" scale="85" showGridLines="0" hiddenColumns="1" topLeftCell="A7">
      <selection activeCell="H27" sqref="H27"/>
    </customSheetView>
    <customSheetView guid="{983CA25C-E536-444F-9D93-83C18FA7D181}" scale="85" showGridLines="0" hiddenColumns="1" topLeftCell="A7">
      <selection activeCell="H27" sqref="H27"/>
    </customSheetView>
    <customSheetView guid="{C9A92CC2-07B1-4F3F-B8DB-13370D8D1DE6}" scale="85" showGridLines="0" hiddenColumns="1" topLeftCell="A7">
      <selection activeCell="H27" sqref="H27"/>
    </customSheetView>
  </customSheetViews>
  <phoneticPr fontId="43" type="noConversion"/>
  <conditionalFormatting sqref="F37">
    <cfRule type="cellIs" dxfId="13" priority="1" operator="notEqual">
      <formula>0</formula>
    </cfRule>
  </conditionalFormatting>
  <dataValidations count="3">
    <dataValidation type="list" allowBlank="1" showInputMessage="1" showErrorMessage="1" sqref="F48" xr:uid="{00000000-0002-0000-0C00-000000000000}">
      <formula1>"1,0"</formula1>
    </dataValidation>
    <dataValidation showErrorMessage="1" sqref="F11" xr:uid="{00000000-0002-0000-0C00-000001000000}"/>
    <dataValidation type="custom" allowBlank="1" showInputMessage="1" showErrorMessage="1" errorTitle="Fehler" error="1. Tag des Monats erforderlich !" sqref="F43" xr:uid="{8A88E0FF-CE1D-4E49-8BC5-22962B9AF581}">
      <formula1>DAY(F43)=1</formula1>
    </dataValidation>
  </dataValidations>
  <hyperlinks>
    <hyperlink ref="G11" r:id="rId1" xr:uid="{00000000-0004-0000-0C00-000005000000}"/>
    <hyperlink ref="G49" r:id="rId2" xr:uid="{574FAEFB-4F3E-4C7A-935E-71CE4DB3BCA7}"/>
  </hyperlinks>
  <pageMargins left="0.51181102362204722" right="0.19685039370078741" top="0.59055118110236227" bottom="0.39370078740157483" header="0.31496062992125984" footer="0.31496062992125984"/>
  <pageSetup paperSize="9" scale="37" fitToHeight="0" orientation="landscape" r:id="rId3"/>
  <headerFooter>
    <oddFooter>&amp;L&amp;8Eine Vorlage von www.fimovi.de&amp;C&amp;A&amp;RSeite &amp;P von &amp;N</oddFooter>
  </headerFooter>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MLS_Fimovi_AfA_Steuern">
    <tabColor theme="0" tint="-0.499984740745262"/>
    <pageSetUpPr fitToPage="1"/>
  </sheetPr>
  <dimension ref="A1:AAA106"/>
  <sheetViews>
    <sheetView showGridLines="0" zoomScale="115" zoomScaleNormal="115" workbookViewId="0"/>
  </sheetViews>
  <sheetFormatPr baseColWidth="10" defaultColWidth="0" defaultRowHeight="12.75" outlineLevelRow="2"/>
  <cols>
    <col min="1" max="1" width="5.140625" customWidth="1"/>
    <col min="2" max="2" width="5.7109375" customWidth="1"/>
    <col min="3" max="3" width="47.7109375" customWidth="1"/>
    <col min="4" max="5" width="13" customWidth="1"/>
    <col min="6" max="6" width="10.7109375" customWidth="1"/>
    <col min="7" max="7" width="14.28515625" customWidth="1"/>
    <col min="8" max="23" width="15.42578125" customWidth="1"/>
    <col min="24" max="703" width="0" hidden="1" customWidth="1"/>
    <col min="704" max="16384" width="11.42578125" hidden="1"/>
  </cols>
  <sheetData>
    <row r="1" spans="1:23" ht="26.25" customHeight="1">
      <c r="A1" s="40"/>
      <c r="B1" s="40" t="str">
        <f>"Berechnungen: Abschreibungen &amp; Fremdfinanzierungen - (" &amp;Name_Projekt &amp;")"</f>
        <v>Berechnungen: Abschreibungen &amp; Fremdfinanzierungen - (Neubau ETW (Hauptstr. 45))</v>
      </c>
      <c r="C1" s="40"/>
      <c r="D1" s="40"/>
      <c r="E1" s="40"/>
      <c r="F1" s="40"/>
      <c r="G1" s="40"/>
      <c r="H1" s="40"/>
      <c r="I1" s="40"/>
      <c r="J1" s="40"/>
      <c r="K1" s="40"/>
      <c r="L1" s="40"/>
      <c r="M1" s="40"/>
      <c r="N1" s="40"/>
      <c r="O1" s="40"/>
      <c r="P1" s="40"/>
      <c r="Q1" s="40"/>
      <c r="R1" s="40"/>
      <c r="S1" s="40"/>
      <c r="T1" s="40"/>
      <c r="U1" s="40"/>
      <c r="V1" s="40"/>
      <c r="W1" s="40"/>
    </row>
    <row r="2" spans="1:23" ht="9" customHeight="1">
      <c r="M2" s="126"/>
      <c r="N2" s="127"/>
      <c r="O2" s="127"/>
      <c r="P2" s="127"/>
      <c r="Q2" s="125"/>
    </row>
    <row r="3" spans="1:23" ht="29.25" customHeight="1" thickBot="1">
      <c r="A3" s="139"/>
      <c r="B3" s="139" t="s">
        <v>127</v>
      </c>
      <c r="C3" s="136" t="s">
        <v>264</v>
      </c>
      <c r="D3" s="136"/>
      <c r="E3" s="136"/>
      <c r="F3" s="136"/>
      <c r="G3" s="136"/>
      <c r="H3" s="136"/>
      <c r="I3" s="136"/>
      <c r="J3" s="136"/>
      <c r="K3" s="136"/>
      <c r="L3" s="136"/>
      <c r="M3" s="136"/>
      <c r="N3" s="136"/>
      <c r="O3" s="136"/>
      <c r="P3" s="136"/>
      <c r="Q3" s="136"/>
      <c r="R3" s="136"/>
      <c r="S3" s="136"/>
      <c r="T3" s="136"/>
      <c r="U3" s="136"/>
      <c r="V3" s="136"/>
      <c r="W3" s="136"/>
    </row>
    <row r="4" spans="1:23" ht="25.5" customHeight="1" outlineLevel="1">
      <c r="A4" s="167"/>
      <c r="B4" s="167"/>
      <c r="C4" s="135" t="s">
        <v>307</v>
      </c>
      <c r="D4" s="138"/>
      <c r="E4" s="138"/>
      <c r="F4" s="138"/>
      <c r="G4" s="138"/>
      <c r="H4" s="138"/>
      <c r="I4" s="137"/>
      <c r="J4" s="137"/>
      <c r="K4" s="137"/>
    </row>
    <row r="5" spans="1:23" ht="21" customHeight="1" outlineLevel="1">
      <c r="B5" s="168"/>
      <c r="C5" s="135"/>
      <c r="D5" s="3"/>
      <c r="E5" s="3"/>
      <c r="F5" s="3"/>
      <c r="G5" s="46"/>
      <c r="H5" s="112">
        <v>1</v>
      </c>
      <c r="I5" s="112">
        <f>H5+1</f>
        <v>2</v>
      </c>
      <c r="J5" s="112">
        <f t="shared" ref="J5:V5" si="0">I5+1</f>
        <v>3</v>
      </c>
      <c r="K5" s="112">
        <f t="shared" si="0"/>
        <v>4</v>
      </c>
      <c r="L5" s="112">
        <f t="shared" si="0"/>
        <v>5</v>
      </c>
      <c r="M5" s="112">
        <f t="shared" si="0"/>
        <v>6</v>
      </c>
      <c r="N5" s="112">
        <f t="shared" si="0"/>
        <v>7</v>
      </c>
      <c r="O5" s="112">
        <f t="shared" si="0"/>
        <v>8</v>
      </c>
      <c r="P5" s="112">
        <f t="shared" si="0"/>
        <v>9</v>
      </c>
      <c r="Q5" s="112">
        <f t="shared" si="0"/>
        <v>10</v>
      </c>
      <c r="R5" s="112">
        <f t="shared" si="0"/>
        <v>11</v>
      </c>
      <c r="S5" s="112">
        <f t="shared" si="0"/>
        <v>12</v>
      </c>
      <c r="T5" s="112">
        <f t="shared" si="0"/>
        <v>13</v>
      </c>
      <c r="U5" s="112">
        <f t="shared" si="0"/>
        <v>14</v>
      </c>
      <c r="V5" s="112">
        <f t="shared" si="0"/>
        <v>15</v>
      </c>
      <c r="W5" s="112"/>
    </row>
    <row r="6" spans="1:23" ht="17.25" customHeight="1" outlineLevel="1">
      <c r="C6" s="128" t="s">
        <v>265</v>
      </c>
      <c r="H6" s="99">
        <f>YEAR(Annahmen!$F$43)</f>
        <v>2026</v>
      </c>
      <c r="I6" s="99">
        <f t="shared" ref="I6:N6" si="1">H6+1</f>
        <v>2027</v>
      </c>
      <c r="J6" s="99">
        <f t="shared" si="1"/>
        <v>2028</v>
      </c>
      <c r="K6" s="99">
        <f t="shared" si="1"/>
        <v>2029</v>
      </c>
      <c r="L6" s="99">
        <f t="shared" si="1"/>
        <v>2030</v>
      </c>
      <c r="M6" s="99">
        <f t="shared" si="1"/>
        <v>2031</v>
      </c>
      <c r="N6" s="99">
        <f t="shared" si="1"/>
        <v>2032</v>
      </c>
      <c r="O6" s="99">
        <f t="shared" ref="O6:V6" si="2">N6+1</f>
        <v>2033</v>
      </c>
      <c r="P6" s="99">
        <f t="shared" si="2"/>
        <v>2034</v>
      </c>
      <c r="Q6" s="99">
        <f t="shared" si="2"/>
        <v>2035</v>
      </c>
      <c r="R6" s="99">
        <f t="shared" si="2"/>
        <v>2036</v>
      </c>
      <c r="S6" s="99">
        <f t="shared" si="2"/>
        <v>2037</v>
      </c>
      <c r="T6" s="99">
        <f t="shared" si="2"/>
        <v>2038</v>
      </c>
      <c r="U6" s="99">
        <f t="shared" si="2"/>
        <v>2039</v>
      </c>
      <c r="V6" s="99">
        <f t="shared" si="2"/>
        <v>2040</v>
      </c>
    </row>
    <row r="7" spans="1:23" ht="17.25" customHeight="1" outlineLevel="1">
      <c r="C7" s="24" t="s">
        <v>161</v>
      </c>
      <c r="D7" s="9" t="str">
        <f>currency</f>
        <v>EUR</v>
      </c>
      <c r="E7" s="9"/>
      <c r="F7" s="9"/>
      <c r="G7" s="37"/>
      <c r="H7" s="84">
        <f t="shared" ref="H7:V7" si="3">IF(YEAR($J$32)=H$6,$H$32,G11)</f>
        <v>300000</v>
      </c>
      <c r="I7" s="84">
        <f t="shared" si="3"/>
        <v>285000</v>
      </c>
      <c r="J7" s="84">
        <f t="shared" si="3"/>
        <v>270750</v>
      </c>
      <c r="K7" s="84">
        <f t="shared" si="3"/>
        <v>257212.5</v>
      </c>
      <c r="L7" s="84">
        <f t="shared" si="3"/>
        <v>244351.875</v>
      </c>
      <c r="M7" s="84">
        <f t="shared" si="3"/>
        <v>232134.28125</v>
      </c>
      <c r="N7" s="84">
        <f t="shared" si="3"/>
        <v>220527.56718750001</v>
      </c>
      <c r="O7" s="84">
        <f t="shared" si="3"/>
        <v>209501.18882812501</v>
      </c>
      <c r="P7" s="84">
        <f t="shared" si="3"/>
        <v>199026.12938671876</v>
      </c>
      <c r="Q7" s="84">
        <f t="shared" si="3"/>
        <v>189074.82291738281</v>
      </c>
      <c r="R7" s="84">
        <f t="shared" si="3"/>
        <v>179621.08177151368</v>
      </c>
      <c r="S7" s="84">
        <f t="shared" si="3"/>
        <v>171923.03540987737</v>
      </c>
      <c r="T7" s="84">
        <f t="shared" si="3"/>
        <v>164224.98904824106</v>
      </c>
      <c r="U7" s="84">
        <f t="shared" si="3"/>
        <v>156526.94268660474</v>
      </c>
      <c r="V7" s="84">
        <f t="shared" si="3"/>
        <v>148828.89632496843</v>
      </c>
    </row>
    <row r="8" spans="1:23" ht="17.25" customHeight="1" outlineLevel="1">
      <c r="C8" s="86" t="s">
        <v>184</v>
      </c>
      <c r="D8" s="9" t="str">
        <f>currency</f>
        <v>EUR</v>
      </c>
      <c r="E8" s="164">
        <f>Sonder_AfA_an</f>
        <v>0</v>
      </c>
      <c r="F8" s="9"/>
      <c r="G8" s="50">
        <f>SUM(H8:V8)</f>
        <v>0</v>
      </c>
      <c r="H8" s="48">
        <f t="shared" ref="H8:V8" si="4">H16</f>
        <v>0</v>
      </c>
      <c r="I8" s="48">
        <f t="shared" si="4"/>
        <v>0</v>
      </c>
      <c r="J8" s="48">
        <f t="shared" si="4"/>
        <v>0</v>
      </c>
      <c r="K8" s="48">
        <f t="shared" si="4"/>
        <v>0</v>
      </c>
      <c r="L8" s="48">
        <f t="shared" si="4"/>
        <v>0</v>
      </c>
      <c r="M8" s="48">
        <f t="shared" si="4"/>
        <v>0</v>
      </c>
      <c r="N8" s="48">
        <f t="shared" si="4"/>
        <v>0</v>
      </c>
      <c r="O8" s="48">
        <f t="shared" si="4"/>
        <v>0</v>
      </c>
      <c r="P8" s="48">
        <f t="shared" si="4"/>
        <v>0</v>
      </c>
      <c r="Q8" s="48">
        <f t="shared" si="4"/>
        <v>0</v>
      </c>
      <c r="R8" s="48">
        <f t="shared" si="4"/>
        <v>0</v>
      </c>
      <c r="S8" s="48">
        <f t="shared" si="4"/>
        <v>0</v>
      </c>
      <c r="T8" s="48">
        <f t="shared" si="4"/>
        <v>0</v>
      </c>
      <c r="U8" s="48">
        <f t="shared" si="4"/>
        <v>0</v>
      </c>
      <c r="V8" s="48">
        <f t="shared" si="4"/>
        <v>0</v>
      </c>
    </row>
    <row r="9" spans="1:23" ht="17.25" customHeight="1" outlineLevel="1">
      <c r="C9" s="86" t="s">
        <v>218</v>
      </c>
      <c r="D9" s="9" t="str">
        <f>currency</f>
        <v>EUR</v>
      </c>
      <c r="E9" s="9"/>
      <c r="F9" s="9"/>
      <c r="G9" s="50">
        <f>SUM(H9:V9)</f>
        <v>38490.231808181496</v>
      </c>
      <c r="H9" s="48">
        <f t="shared" ref="H9:V9" si="5">H20</f>
        <v>0</v>
      </c>
      <c r="I9" s="48">
        <f t="shared" si="5"/>
        <v>0</v>
      </c>
      <c r="J9" s="48">
        <f t="shared" si="5"/>
        <v>0</v>
      </c>
      <c r="K9" s="48">
        <f t="shared" si="5"/>
        <v>0</v>
      </c>
      <c r="L9" s="48">
        <f t="shared" si="5"/>
        <v>0</v>
      </c>
      <c r="M9" s="48">
        <f t="shared" si="5"/>
        <v>0</v>
      </c>
      <c r="N9" s="48">
        <f t="shared" si="5"/>
        <v>0</v>
      </c>
      <c r="O9" s="48">
        <f t="shared" si="5"/>
        <v>0</v>
      </c>
      <c r="P9" s="48">
        <f t="shared" si="5"/>
        <v>0</v>
      </c>
      <c r="Q9" s="48">
        <f t="shared" si="5"/>
        <v>0</v>
      </c>
      <c r="R9" s="48">
        <f t="shared" si="5"/>
        <v>7698.0463616362995</v>
      </c>
      <c r="S9" s="48">
        <f t="shared" si="5"/>
        <v>7698.0463616362995</v>
      </c>
      <c r="T9" s="48">
        <f t="shared" si="5"/>
        <v>7698.0463616362995</v>
      </c>
      <c r="U9" s="48">
        <f t="shared" si="5"/>
        <v>7698.0463616362995</v>
      </c>
      <c r="V9" s="48">
        <f t="shared" si="5"/>
        <v>7698.0463616362995</v>
      </c>
    </row>
    <row r="10" spans="1:23" ht="17.25" customHeight="1" outlineLevel="1">
      <c r="C10" s="86" t="s">
        <v>219</v>
      </c>
      <c r="D10" s="9" t="str">
        <f>currency</f>
        <v>EUR</v>
      </c>
      <c r="E10" s="9"/>
      <c r="F10" s="9"/>
      <c r="G10" s="50">
        <f>SUM(H10:V10)</f>
        <v>120378.91822848632</v>
      </c>
      <c r="H10" s="48">
        <f t="shared" ref="H10:V10" si="6">H21</f>
        <v>15000</v>
      </c>
      <c r="I10" s="48">
        <f t="shared" si="6"/>
        <v>14250</v>
      </c>
      <c r="J10" s="48">
        <f t="shared" si="6"/>
        <v>13537.5</v>
      </c>
      <c r="K10" s="48">
        <f t="shared" si="6"/>
        <v>12860.625</v>
      </c>
      <c r="L10" s="48">
        <f t="shared" si="6"/>
        <v>12217.59375</v>
      </c>
      <c r="M10" s="48">
        <f t="shared" si="6"/>
        <v>11606.714062500001</v>
      </c>
      <c r="N10" s="48">
        <f t="shared" si="6"/>
        <v>11026.378359375001</v>
      </c>
      <c r="O10" s="48">
        <f t="shared" si="6"/>
        <v>10475.059441406251</v>
      </c>
      <c r="P10" s="48">
        <f t="shared" si="6"/>
        <v>9951.3064693359374</v>
      </c>
      <c r="Q10" s="48">
        <f t="shared" si="6"/>
        <v>9453.7411458691404</v>
      </c>
      <c r="R10" s="48">
        <f t="shared" si="6"/>
        <v>0</v>
      </c>
      <c r="S10" s="48">
        <f t="shared" si="6"/>
        <v>0</v>
      </c>
      <c r="T10" s="48">
        <f t="shared" si="6"/>
        <v>0</v>
      </c>
      <c r="U10" s="48">
        <f t="shared" si="6"/>
        <v>0</v>
      </c>
      <c r="V10" s="48">
        <f t="shared" si="6"/>
        <v>0</v>
      </c>
    </row>
    <row r="11" spans="1:23" ht="17.25" customHeight="1" outlineLevel="1" thickBot="1">
      <c r="C11" s="24" t="s">
        <v>162</v>
      </c>
      <c r="D11" s="9" t="str">
        <f>currency</f>
        <v>EUR</v>
      </c>
      <c r="E11" s="9"/>
      <c r="F11" s="9"/>
      <c r="G11" s="88"/>
      <c r="H11" s="107">
        <f t="shared" ref="H11:V11" si="7">IF(ABS(H7-SUM(H8:H10))&lt;0.001,0,H7-SUM(H8:H10))</f>
        <v>285000</v>
      </c>
      <c r="I11" s="107">
        <f t="shared" si="7"/>
        <v>270750</v>
      </c>
      <c r="J11" s="107">
        <f t="shared" si="7"/>
        <v>257212.5</v>
      </c>
      <c r="K11" s="107">
        <f t="shared" si="7"/>
        <v>244351.875</v>
      </c>
      <c r="L11" s="107">
        <f t="shared" si="7"/>
        <v>232134.28125</v>
      </c>
      <c r="M11" s="107">
        <f t="shared" si="7"/>
        <v>220527.56718750001</v>
      </c>
      <c r="N11" s="107">
        <f t="shared" si="7"/>
        <v>209501.18882812501</v>
      </c>
      <c r="O11" s="107">
        <f t="shared" si="7"/>
        <v>199026.12938671876</v>
      </c>
      <c r="P11" s="107">
        <f t="shared" si="7"/>
        <v>189074.82291738281</v>
      </c>
      <c r="Q11" s="107">
        <f t="shared" si="7"/>
        <v>179621.08177151368</v>
      </c>
      <c r="R11" s="107">
        <f t="shared" si="7"/>
        <v>171923.03540987737</v>
      </c>
      <c r="S11" s="107">
        <f t="shared" si="7"/>
        <v>164224.98904824106</v>
      </c>
      <c r="T11" s="107">
        <f t="shared" si="7"/>
        <v>156526.94268660474</v>
      </c>
      <c r="U11" s="107">
        <f t="shared" si="7"/>
        <v>148828.89632496843</v>
      </c>
      <c r="V11" s="107">
        <f t="shared" si="7"/>
        <v>141130.84996333212</v>
      </c>
    </row>
    <row r="12" spans="1:23" ht="17.25" customHeight="1" outlineLevel="1" thickTop="1">
      <c r="C12" s="74" t="s">
        <v>245</v>
      </c>
      <c r="G12" s="48"/>
      <c r="H12" s="159">
        <f t="shared" ref="H12:V12" si="8">IF(H11=0,0,($H$15-H11)/$H$15)</f>
        <v>0.05</v>
      </c>
      <c r="I12" s="159">
        <f t="shared" si="8"/>
        <v>9.7500000000000003E-2</v>
      </c>
      <c r="J12" s="159">
        <f t="shared" si="8"/>
        <v>0.142625</v>
      </c>
      <c r="K12" s="159">
        <f t="shared" si="8"/>
        <v>0.18549375000000001</v>
      </c>
      <c r="L12" s="159">
        <f t="shared" si="8"/>
        <v>0.22621906250000001</v>
      </c>
      <c r="M12" s="159">
        <f t="shared" si="8"/>
        <v>0.26490810937499998</v>
      </c>
      <c r="N12" s="159">
        <f t="shared" si="8"/>
        <v>0.30166270390624994</v>
      </c>
      <c r="O12" s="159">
        <f t="shared" si="8"/>
        <v>0.33657956871093747</v>
      </c>
      <c r="P12" s="159">
        <f t="shared" si="8"/>
        <v>0.36975059027539059</v>
      </c>
      <c r="Q12" s="159">
        <f t="shared" si="8"/>
        <v>0.40126306076162105</v>
      </c>
      <c r="R12" s="159">
        <f t="shared" si="8"/>
        <v>0.42692321530040878</v>
      </c>
      <c r="S12" s="159">
        <f t="shared" si="8"/>
        <v>0.4525833698391965</v>
      </c>
      <c r="T12" s="159">
        <f t="shared" si="8"/>
        <v>0.47824352437798417</v>
      </c>
      <c r="U12" s="159">
        <f t="shared" si="8"/>
        <v>0.5039036789167719</v>
      </c>
      <c r="V12" s="159">
        <f t="shared" si="8"/>
        <v>0.52956383345555957</v>
      </c>
      <c r="W12" s="141"/>
    </row>
    <row r="13" spans="1:23" ht="17.25" customHeight="1" outlineLevel="1"/>
    <row r="14" spans="1:23" ht="17.25" customHeight="1" outlineLevel="1">
      <c r="C14" s="128" t="s">
        <v>266</v>
      </c>
    </row>
    <row r="15" spans="1:23" ht="17.25" hidden="1" customHeight="1" outlineLevel="2">
      <c r="C15" s="24" t="s">
        <v>161</v>
      </c>
      <c r="D15" s="9" t="str">
        <f>currency</f>
        <v>EUR</v>
      </c>
      <c r="E15" s="9"/>
      <c r="F15" s="9"/>
      <c r="G15" s="37"/>
      <c r="H15" s="84">
        <f t="shared" ref="H15:V15" si="9">IF(YEAR($J$32)=H$6,$H$32,G22)</f>
        <v>300000</v>
      </c>
      <c r="I15" s="84">
        <f t="shared" si="9"/>
        <v>285000</v>
      </c>
      <c r="J15" s="84">
        <f t="shared" si="9"/>
        <v>270750</v>
      </c>
      <c r="K15" s="84">
        <f t="shared" si="9"/>
        <v>257212.5</v>
      </c>
      <c r="L15" s="84">
        <f t="shared" si="9"/>
        <v>244351.875</v>
      </c>
      <c r="M15" s="84">
        <f t="shared" si="9"/>
        <v>232134.28125</v>
      </c>
      <c r="N15" s="84">
        <f t="shared" si="9"/>
        <v>220527.56718750001</v>
      </c>
      <c r="O15" s="84">
        <f t="shared" si="9"/>
        <v>209501.18882812501</v>
      </c>
      <c r="P15" s="84">
        <f t="shared" si="9"/>
        <v>199026.12938671876</v>
      </c>
      <c r="Q15" s="84">
        <f t="shared" si="9"/>
        <v>189074.82291738281</v>
      </c>
      <c r="R15" s="84">
        <f t="shared" si="9"/>
        <v>179621.08177151368</v>
      </c>
      <c r="S15" s="84">
        <f t="shared" si="9"/>
        <v>0</v>
      </c>
      <c r="T15" s="84">
        <f t="shared" si="9"/>
        <v>0</v>
      </c>
      <c r="U15" s="84">
        <f t="shared" si="9"/>
        <v>0</v>
      </c>
      <c r="V15" s="84">
        <f t="shared" si="9"/>
        <v>0</v>
      </c>
      <c r="W15" s="109">
        <f>IF(V22&lt;&gt;0,1,0)</f>
        <v>0</v>
      </c>
    </row>
    <row r="16" spans="1:23" ht="17.25" hidden="1" customHeight="1" outlineLevel="2">
      <c r="C16" s="86" t="s">
        <v>184</v>
      </c>
      <c r="D16" s="9" t="str">
        <f>currency</f>
        <v>EUR</v>
      </c>
      <c r="E16" s="164">
        <f>Sonder_AfA_an</f>
        <v>0</v>
      </c>
      <c r="F16" s="9"/>
      <c r="G16" s="88"/>
      <c r="H16" s="113">
        <f t="shared" ref="H16:V16" si="10">IF(H5&lt;=4,LOOKUP(H6,$H$28:$K$28,$H$29:$K$29)*$O$29,0)</f>
        <v>0</v>
      </c>
      <c r="I16" s="113">
        <f t="shared" si="10"/>
        <v>0</v>
      </c>
      <c r="J16" s="113">
        <f t="shared" si="10"/>
        <v>0</v>
      </c>
      <c r="K16" s="113">
        <f t="shared" si="10"/>
        <v>0</v>
      </c>
      <c r="L16" s="113">
        <f t="shared" si="10"/>
        <v>0</v>
      </c>
      <c r="M16" s="113">
        <f t="shared" si="10"/>
        <v>0</v>
      </c>
      <c r="N16" s="113">
        <f t="shared" si="10"/>
        <v>0</v>
      </c>
      <c r="O16" s="113">
        <f t="shared" si="10"/>
        <v>0</v>
      </c>
      <c r="P16" s="113">
        <f t="shared" si="10"/>
        <v>0</v>
      </c>
      <c r="Q16" s="113">
        <f t="shared" si="10"/>
        <v>0</v>
      </c>
      <c r="R16" s="113">
        <f t="shared" si="10"/>
        <v>0</v>
      </c>
      <c r="S16" s="113">
        <f t="shared" si="10"/>
        <v>0</v>
      </c>
      <c r="T16" s="113">
        <f t="shared" si="10"/>
        <v>0</v>
      </c>
      <c r="U16" s="113">
        <f t="shared" si="10"/>
        <v>0</v>
      </c>
      <c r="V16" s="113">
        <f t="shared" si="10"/>
        <v>0</v>
      </c>
    </row>
    <row r="17" spans="3:22" ht="17.25" hidden="1" customHeight="1" outlineLevel="2">
      <c r="C17" s="122" t="s">
        <v>185</v>
      </c>
      <c r="D17" s="9" t="str">
        <f>currency</f>
        <v>EUR</v>
      </c>
      <c r="E17" s="9"/>
      <c r="F17" s="9"/>
      <c r="G17" s="88"/>
      <c r="H17" s="84">
        <f>IF(SUM($G17:G17)&lt;$H$32,MIN($M$32,$H$32-SUM($G17:G17)),0)</f>
        <v>9000</v>
      </c>
      <c r="I17" s="84">
        <f>IF(SUM($G17:H17)&lt;$H$32,MIN($M$32,$H$32-SUM($G17:H17)),0)</f>
        <v>9000</v>
      </c>
      <c r="J17" s="84">
        <f>IF(SUM($G17:I17)&lt;$H$32,MIN($M$32,$H$32-SUM($G17:I17)),0)</f>
        <v>9000</v>
      </c>
      <c r="K17" s="84">
        <f>IF(SUM($G17:J17)&lt;$H$32,MIN($M$32,$H$32-SUM($G17:J17)),0)</f>
        <v>9000</v>
      </c>
      <c r="L17" s="84">
        <f>IF(SUM($G17:K17)&lt;$H$32,MIN($M$32,$H$32-SUM($G17:K17)),0)</f>
        <v>9000</v>
      </c>
      <c r="M17" s="84">
        <f>IF(SUM($G17:L17)&lt;$H$32,MIN($M$32,$H$32-SUM($G17:L17)),0)</f>
        <v>9000</v>
      </c>
      <c r="N17" s="84">
        <f>IF(SUM($G17:M17)&lt;$H$32,MIN($M$32,$H$32-SUM($G17:M17)),0)</f>
        <v>9000</v>
      </c>
      <c r="O17" s="84">
        <f>IF(SUM($G17:N17)&lt;$H$32,MIN($M$32,$H$32-SUM($G17:N17)),0)</f>
        <v>9000</v>
      </c>
      <c r="P17" s="84">
        <f>IF(SUM($G17:O17)&lt;$H$32,MIN($M$32,$H$32-SUM($G17:O17)),0)</f>
        <v>9000</v>
      </c>
      <c r="Q17" s="84">
        <f>IF(SUM($G17:P17)&lt;$H$32,MIN($M$32,$H$32-SUM($G17:P17)),0)</f>
        <v>9000</v>
      </c>
      <c r="R17" s="84">
        <f>IF(SUM($G17:Q17)&lt;$H$32,MIN($M$32,$H$32-SUM($G17:Q17)),0)</f>
        <v>9000</v>
      </c>
      <c r="S17" s="84">
        <f>IF(SUM($G17:R17)&lt;$H$32,MIN($M$32,$H$32-SUM($G17:R17)),0)</f>
        <v>9000</v>
      </c>
      <c r="T17" s="84">
        <f>IF(SUM($G17:S17)&lt;$H$32,MIN($M$32,$H$32-SUM($G17:S17)),0)</f>
        <v>9000</v>
      </c>
      <c r="U17" s="84">
        <f>IF(SUM($G17:T17)&lt;$H$32,MIN($M$32,$H$32-SUM($G17:T17)),0)</f>
        <v>9000</v>
      </c>
      <c r="V17" s="84">
        <f>IF(SUM($G17:U17)&lt;$H$32,MIN($M$32,$H$32-SUM($G17:U17)),0)</f>
        <v>9000</v>
      </c>
    </row>
    <row r="18" spans="3:22" ht="17.25" hidden="1" customHeight="1" outlineLevel="2">
      <c r="C18" s="122" t="s">
        <v>186</v>
      </c>
      <c r="D18" s="9" t="str">
        <f>currency</f>
        <v>EUR</v>
      </c>
      <c r="E18" s="9"/>
      <c r="F18" s="9"/>
      <c r="G18" s="88"/>
      <c r="H18" s="84">
        <f>($H$32-SUM($G16:G16)-SUM($G18:G18))*$K$32</f>
        <v>15000</v>
      </c>
      <c r="I18" s="84">
        <f>($H$32-SUM($G16:H16)-SUM($G18:H18))*$K$32</f>
        <v>14250</v>
      </c>
      <c r="J18" s="84">
        <f>($H$32-SUM($G16:I16)-SUM($G18:I18))*$K$32</f>
        <v>13537.5</v>
      </c>
      <c r="K18" s="84">
        <f>($H$32-SUM($G16:J16)-SUM($G18:J18))*$K$32</f>
        <v>12860.625</v>
      </c>
      <c r="L18" s="84">
        <f>($H$32-SUM($G16:K16)-SUM($G18:K18))*$K$32</f>
        <v>12217.59375</v>
      </c>
      <c r="M18" s="84">
        <f>($H$32-SUM($G16:L16)-SUM($G18:L18))*$K$32</f>
        <v>11606.714062500001</v>
      </c>
      <c r="N18" s="84">
        <f>($H$32-SUM($G16:M16)-SUM($G18:M18))*$K$32</f>
        <v>11026.378359375001</v>
      </c>
      <c r="O18" s="84">
        <f>($H$32-SUM($G16:N16)-SUM($G18:N18))*$K$32</f>
        <v>10475.059441406251</v>
      </c>
      <c r="P18" s="84">
        <f>($H$32-SUM($G16:O16)-SUM($G18:O18))*$K$32</f>
        <v>9951.3064693359374</v>
      </c>
      <c r="Q18" s="84">
        <f>($H$32-SUM($G16:P16)-SUM($G18:P18))*$K$32</f>
        <v>9453.7411458691404</v>
      </c>
      <c r="R18" s="84">
        <f>($H$32-SUM($G16:Q16)-SUM($G18:Q18))*$K$32</f>
        <v>8981.0540885756836</v>
      </c>
      <c r="S18" s="84">
        <f>($H$32-SUM($G16:R16)-SUM($G18:R18))*$K$32</f>
        <v>8532.0013841469008</v>
      </c>
      <c r="T18" s="84">
        <f>($H$32-SUM($G16:S16)-SUM($G18:S18))*$K$32</f>
        <v>8105.401314939556</v>
      </c>
      <c r="U18" s="84">
        <f>($H$32-SUM($G16:T16)-SUM($G18:T18))*$K$32</f>
        <v>7700.1312491925783</v>
      </c>
      <c r="V18" s="84">
        <f>($H$32-SUM($G16:U16)-SUM($G18:U18))*$K$32</f>
        <v>7315.1246867329501</v>
      </c>
    </row>
    <row r="19" spans="3:22" ht="17.25" hidden="1" customHeight="1" outlineLevel="2">
      <c r="C19" s="122" t="s">
        <v>189</v>
      </c>
      <c r="E19" s="9"/>
      <c r="F19" s="50">
        <f>SUM(H19:V19)</f>
        <v>10</v>
      </c>
      <c r="G19" s="61">
        <f>GanzkleineZahl</f>
        <v>9.9999999999999995E-8</v>
      </c>
      <c r="H19" s="110">
        <f>IF(AND(H15&gt;0,G19&gt;0,H18&gt;=H17),1,0)</f>
        <v>1</v>
      </c>
      <c r="I19" s="110">
        <f>IF(AND(I15&gt;0,H19&gt;0,I18&gt;=I17),1,0)</f>
        <v>1</v>
      </c>
      <c r="J19" s="110">
        <f t="shared" ref="J19:V19" si="11">IF(AND(J15&gt;0,I19&gt;0,J18&gt;=J17),1,0)</f>
        <v>1</v>
      </c>
      <c r="K19" s="110">
        <f t="shared" ref="K19" si="12">IF(AND(K15&gt;0,J19&gt;0,K18&gt;=K17),1,0)</f>
        <v>1</v>
      </c>
      <c r="L19" s="110">
        <f t="shared" ref="L19" si="13">IF(AND(L15&gt;0,K19&gt;0,L18&gt;=L17),1,0)</f>
        <v>1</v>
      </c>
      <c r="M19" s="110">
        <f t="shared" ref="M19" si="14">IF(AND(M15&gt;0,L19&gt;0,M18&gt;=M17),1,0)</f>
        <v>1</v>
      </c>
      <c r="N19" s="110">
        <f t="shared" ref="N19" si="15">IF(AND(N15&gt;0,M19&gt;0,N18&gt;=N17),1,0)</f>
        <v>1</v>
      </c>
      <c r="O19" s="110">
        <f t="shared" ref="O19" si="16">IF(AND(O15&gt;0,N19&gt;0,O18&gt;=O17),1,0)</f>
        <v>1</v>
      </c>
      <c r="P19" s="110">
        <f t="shared" ref="P19" si="17">IF(AND(P15&gt;0,O19&gt;0,P18&gt;=P17),1,0)</f>
        <v>1</v>
      </c>
      <c r="Q19" s="110">
        <f t="shared" ref="Q19" si="18">IF(AND(Q15&gt;0,P19&gt;0,Q18&gt;=Q17),1,0)</f>
        <v>1</v>
      </c>
      <c r="R19" s="110">
        <f t="shared" ref="R19" si="19">IF(AND(R15&gt;0,Q19&gt;0,R18&gt;=R17),1,0)</f>
        <v>0</v>
      </c>
      <c r="S19" s="110">
        <f t="shared" ref="S19" si="20">IF(AND(S15&gt;0,R19&gt;0,S18&gt;=S17),1,0)</f>
        <v>0</v>
      </c>
      <c r="T19" s="110">
        <f t="shared" ref="T19" si="21">IF(AND(T15&gt;0,S19&gt;0,T18&gt;=T17),1,0)</f>
        <v>0</v>
      </c>
      <c r="U19" s="110">
        <f t="shared" si="11"/>
        <v>0</v>
      </c>
      <c r="V19" s="110">
        <f t="shared" si="11"/>
        <v>0</v>
      </c>
    </row>
    <row r="20" spans="3:22" ht="17.25" hidden="1" customHeight="1" outlineLevel="2">
      <c r="C20" s="86" t="s">
        <v>218</v>
      </c>
      <c r="D20" s="9"/>
      <c r="E20" s="9"/>
      <c r="F20" s="9"/>
      <c r="G20" s="50">
        <f>SUM(H20:V20)</f>
        <v>38490.231808181496</v>
      </c>
      <c r="H20" s="84">
        <f t="shared" ref="H20:V20" si="22">IF(H19=1,0,IF(H$5=$K$26,$M$26,IF(AND(H$5&gt;=$I$25,H$5&lt;=$K$25),$M$25,0)))</f>
        <v>0</v>
      </c>
      <c r="I20" s="84">
        <f t="shared" si="22"/>
        <v>0</v>
      </c>
      <c r="J20" s="84">
        <f t="shared" si="22"/>
        <v>0</v>
      </c>
      <c r="K20" s="84">
        <f t="shared" si="22"/>
        <v>0</v>
      </c>
      <c r="L20" s="84">
        <f t="shared" si="22"/>
        <v>0</v>
      </c>
      <c r="M20" s="84">
        <f t="shared" si="22"/>
        <v>0</v>
      </c>
      <c r="N20" s="84">
        <f t="shared" si="22"/>
        <v>0</v>
      </c>
      <c r="O20" s="84">
        <f t="shared" si="22"/>
        <v>0</v>
      </c>
      <c r="P20" s="84">
        <f t="shared" si="22"/>
        <v>0</v>
      </c>
      <c r="Q20" s="84">
        <f t="shared" si="22"/>
        <v>0</v>
      </c>
      <c r="R20" s="84">
        <f t="shared" si="22"/>
        <v>7698.0463616362995</v>
      </c>
      <c r="S20" s="84">
        <f t="shared" si="22"/>
        <v>7698.0463616362995</v>
      </c>
      <c r="T20" s="84">
        <f t="shared" si="22"/>
        <v>7698.0463616362995</v>
      </c>
      <c r="U20" s="84">
        <f t="shared" si="22"/>
        <v>7698.0463616362995</v>
      </c>
      <c r="V20" s="84">
        <f t="shared" si="22"/>
        <v>7698.0463616362995</v>
      </c>
    </row>
    <row r="21" spans="3:22" ht="17.25" hidden="1" customHeight="1" outlineLevel="2">
      <c r="C21" s="86" t="s">
        <v>219</v>
      </c>
      <c r="D21" s="9" t="str">
        <f>currency</f>
        <v>EUR</v>
      </c>
      <c r="E21" s="9"/>
      <c r="F21" s="9"/>
      <c r="G21" s="50">
        <f>SUM(H21:V21)</f>
        <v>120378.91822848632</v>
      </c>
      <c r="H21" s="84">
        <f t="shared" ref="H21:V21" si="23">H19*H18*IF(H$5=1,$J$33/Monate_Jahr,1)</f>
        <v>15000</v>
      </c>
      <c r="I21" s="84">
        <f t="shared" si="23"/>
        <v>14250</v>
      </c>
      <c r="J21" s="84">
        <f t="shared" si="23"/>
        <v>13537.5</v>
      </c>
      <c r="K21" s="84">
        <f t="shared" si="23"/>
        <v>12860.625</v>
      </c>
      <c r="L21" s="84">
        <f t="shared" si="23"/>
        <v>12217.59375</v>
      </c>
      <c r="M21" s="84">
        <f t="shared" si="23"/>
        <v>11606.714062500001</v>
      </c>
      <c r="N21" s="84">
        <f t="shared" si="23"/>
        <v>11026.378359375001</v>
      </c>
      <c r="O21" s="84">
        <f t="shared" si="23"/>
        <v>10475.059441406251</v>
      </c>
      <c r="P21" s="84">
        <f t="shared" si="23"/>
        <v>9951.3064693359374</v>
      </c>
      <c r="Q21" s="84">
        <f t="shared" si="23"/>
        <v>9453.7411458691404</v>
      </c>
      <c r="R21" s="84">
        <f t="shared" si="23"/>
        <v>0</v>
      </c>
      <c r="S21" s="84">
        <f t="shared" si="23"/>
        <v>0</v>
      </c>
      <c r="T21" s="84">
        <f t="shared" si="23"/>
        <v>0</v>
      </c>
      <c r="U21" s="84">
        <f t="shared" si="23"/>
        <v>0</v>
      </c>
      <c r="V21" s="84">
        <f t="shared" si="23"/>
        <v>0</v>
      </c>
    </row>
    <row r="22" spans="3:22" ht="17.25" hidden="1" customHeight="1" outlineLevel="2" thickBot="1">
      <c r="C22" s="24" t="s">
        <v>194</v>
      </c>
      <c r="D22" s="9" t="str">
        <f>currency</f>
        <v>EUR</v>
      </c>
      <c r="E22" s="9"/>
      <c r="F22" s="9"/>
      <c r="G22" s="88"/>
      <c r="H22" s="107">
        <f t="shared" ref="H22:V22" si="24">IF(H19=1,H15-H16-H20-H21,0)</f>
        <v>285000</v>
      </c>
      <c r="I22" s="107">
        <f t="shared" si="24"/>
        <v>270750</v>
      </c>
      <c r="J22" s="107">
        <f t="shared" si="24"/>
        <v>257212.5</v>
      </c>
      <c r="K22" s="107">
        <f t="shared" si="24"/>
        <v>244351.875</v>
      </c>
      <c r="L22" s="107">
        <f t="shared" si="24"/>
        <v>232134.28125</v>
      </c>
      <c r="M22" s="107">
        <f t="shared" si="24"/>
        <v>220527.56718750001</v>
      </c>
      <c r="N22" s="107">
        <f t="shared" si="24"/>
        <v>209501.18882812501</v>
      </c>
      <c r="O22" s="107">
        <f t="shared" si="24"/>
        <v>199026.12938671876</v>
      </c>
      <c r="P22" s="107">
        <f t="shared" si="24"/>
        <v>189074.82291738281</v>
      </c>
      <c r="Q22" s="107">
        <f t="shared" si="24"/>
        <v>179621.08177151368</v>
      </c>
      <c r="R22" s="107">
        <f t="shared" si="24"/>
        <v>0</v>
      </c>
      <c r="S22" s="107">
        <f t="shared" si="24"/>
        <v>0</v>
      </c>
      <c r="T22" s="107">
        <f t="shared" si="24"/>
        <v>0</v>
      </c>
      <c r="U22" s="107">
        <f t="shared" si="24"/>
        <v>0</v>
      </c>
      <c r="V22" s="107">
        <f t="shared" si="24"/>
        <v>0</v>
      </c>
    </row>
    <row r="23" spans="3:22" ht="17.25" hidden="1" customHeight="1" outlineLevel="2" thickTop="1"/>
    <row r="24" spans="3:22" ht="17.25" hidden="1" customHeight="1" outlineLevel="2">
      <c r="C24" s="105" t="s">
        <v>196</v>
      </c>
      <c r="D24" s="85"/>
      <c r="E24" s="85"/>
      <c r="F24" s="85"/>
      <c r="G24" s="46"/>
      <c r="H24" s="46"/>
      <c r="I24" s="46"/>
      <c r="J24" s="46"/>
      <c r="K24" s="46"/>
      <c r="L24" s="46"/>
      <c r="M24" s="46"/>
      <c r="N24" s="46"/>
      <c r="O24" s="97" t="s">
        <v>198</v>
      </c>
      <c r="P24" s="54"/>
      <c r="Q24" s="54"/>
      <c r="R24" s="46"/>
      <c r="S24" s="46"/>
      <c r="T24" s="111"/>
      <c r="U24" s="111"/>
      <c r="V24" s="111"/>
    </row>
    <row r="25" spans="3:22" ht="17.25" hidden="1" customHeight="1" outlineLevel="2">
      <c r="C25" s="86" t="s">
        <v>188</v>
      </c>
      <c r="D25" s="70"/>
      <c r="E25" s="70"/>
      <c r="F25" s="70" t="str">
        <f>currency</f>
        <v>EUR</v>
      </c>
      <c r="G25" s="106">
        <f>IFERROR(LOOKUP($F$19,$H$5:$V$5,$H$22:$V$22)-(SUM($H$16:$K$16)-SUMPRODUCT($H$16:$K$16,$H$19:$K$19)),0)</f>
        <v>179621.08177151368</v>
      </c>
      <c r="H25" s="97" t="s">
        <v>195</v>
      </c>
      <c r="I25" s="119">
        <f>F19+1</f>
        <v>11</v>
      </c>
      <c r="J25" s="97" t="s">
        <v>192</v>
      </c>
      <c r="K25" s="119">
        <f>ROUNDDOWN($I$32,0)</f>
        <v>33</v>
      </c>
      <c r="L25" s="120" t="s">
        <v>190</v>
      </c>
      <c r="M25" s="115">
        <f>IFERROR(G25/(K25-F19+$I$32-K25),0)</f>
        <v>7698.0463616362995</v>
      </c>
      <c r="N25" s="118" t="str">
        <f>currency</f>
        <v>EUR</v>
      </c>
      <c r="O25" s="119">
        <f>IF(M26=0,K25,K26)</f>
        <v>34</v>
      </c>
    </row>
    <row r="26" spans="3:22" ht="17.25" hidden="1" customHeight="1" outlineLevel="2">
      <c r="C26" s="86"/>
      <c r="D26" s="70"/>
      <c r="E26" s="70"/>
      <c r="F26" s="70" t="s">
        <v>191</v>
      </c>
      <c r="G26" s="106">
        <f>(K25-I25+1)*M25+M26</f>
        <v>179621.08177151368</v>
      </c>
      <c r="J26" s="120" t="s">
        <v>176</v>
      </c>
      <c r="K26" s="119">
        <f>K25+1</f>
        <v>34</v>
      </c>
      <c r="L26" s="120" t="s">
        <v>193</v>
      </c>
      <c r="M26" s="115">
        <f>M25*($I$32-K25)</f>
        <v>2566.0154538787847</v>
      </c>
      <c r="N26" s="118" t="str">
        <f>currency</f>
        <v>EUR</v>
      </c>
      <c r="O26" s="119">
        <f>YEAR(Annahmen!$F$43)+O25-1</f>
        <v>2059</v>
      </c>
      <c r="R26" s="48"/>
    </row>
    <row r="27" spans="3:22" ht="17.25" hidden="1" customHeight="1" outlineLevel="2">
      <c r="C27" s="85"/>
      <c r="D27" s="85"/>
      <c r="E27" s="85"/>
      <c r="F27" s="85"/>
      <c r="G27" s="85"/>
      <c r="H27" s="85"/>
      <c r="I27" s="85"/>
      <c r="J27" s="114"/>
      <c r="K27" s="85"/>
      <c r="L27" s="85"/>
      <c r="M27" s="46"/>
      <c r="N27" s="46"/>
      <c r="P27" s="110"/>
      <c r="Q27" s="110"/>
      <c r="R27" s="110"/>
      <c r="S27" s="110"/>
      <c r="T27" s="117"/>
      <c r="U27" s="114"/>
      <c r="V27" s="110"/>
    </row>
    <row r="28" spans="3:22" ht="17.25" hidden="1" customHeight="1" outlineLevel="2">
      <c r="C28" s="105" t="s">
        <v>262</v>
      </c>
      <c r="E28" s="85"/>
      <c r="F28" s="85"/>
      <c r="G28" s="147"/>
      <c r="H28" s="99">
        <f>YEAR(Annahmen!$F$43)</f>
        <v>2026</v>
      </c>
      <c r="I28" s="99">
        <f>H28+1</f>
        <v>2027</v>
      </c>
      <c r="J28" s="99">
        <f>I28+1</f>
        <v>2028</v>
      </c>
      <c r="K28" s="99">
        <f>J28+1</f>
        <v>2029</v>
      </c>
      <c r="L28" s="46"/>
      <c r="M28" s="46"/>
      <c r="N28" s="166"/>
      <c r="O28" s="87" t="s">
        <v>160</v>
      </c>
      <c r="P28" s="46"/>
      <c r="Q28" s="110"/>
      <c r="R28" s="110"/>
      <c r="S28" s="110"/>
      <c r="T28" s="117"/>
      <c r="U28" s="114"/>
      <c r="V28" s="110"/>
    </row>
    <row r="29" spans="3:22" ht="17.25" hidden="1" customHeight="1" outlineLevel="2">
      <c r="C29" s="86" t="s">
        <v>260</v>
      </c>
      <c r="D29" s="9"/>
      <c r="E29" s="85"/>
      <c r="F29" s="85"/>
      <c r="G29" s="85"/>
      <c r="H29" s="123">
        <f>Annahmen!$F$45*Sonder_AfA_an</f>
        <v>0</v>
      </c>
      <c r="I29" s="123">
        <f>Annahmen!$F$45*Sonder_AfA_an</f>
        <v>0</v>
      </c>
      <c r="J29" s="123">
        <f>Annahmen!$F$45*Sonder_AfA_an</f>
        <v>0</v>
      </c>
      <c r="K29" s="123">
        <f>Annahmen!$F$45*Sonder_AfA_an</f>
        <v>0</v>
      </c>
      <c r="L29" s="46"/>
      <c r="M29" s="46"/>
      <c r="N29" s="166" t="s">
        <v>261</v>
      </c>
      <c r="O29" s="49">
        <f>Annahmen!$F$55*Annahmen!$H$55</f>
        <v>0</v>
      </c>
      <c r="P29" s="90" t="str">
        <f>Annahmen!I55</f>
        <v/>
      </c>
      <c r="R29" s="110"/>
      <c r="S29" s="110"/>
      <c r="T29" s="117"/>
      <c r="U29" s="114"/>
      <c r="V29" s="110"/>
    </row>
    <row r="30" spans="3:22" ht="17.25" hidden="1" customHeight="1" outlineLevel="2">
      <c r="C30" s="105" t="s">
        <v>263</v>
      </c>
      <c r="D30" s="85"/>
      <c r="E30" s="85"/>
      <c r="F30" s="85"/>
      <c r="G30" s="37"/>
      <c r="H30" s="165" t="s">
        <v>257</v>
      </c>
      <c r="I30" s="110"/>
      <c r="J30" s="110"/>
      <c r="K30" s="110"/>
      <c r="L30" s="110"/>
      <c r="M30" s="110"/>
      <c r="Q30" s="46"/>
      <c r="S30" s="110"/>
      <c r="T30" s="117"/>
      <c r="U30" s="114"/>
      <c r="V30" s="110"/>
    </row>
    <row r="31" spans="3:22" ht="17.25" hidden="1" customHeight="1" outlineLevel="2">
      <c r="C31" s="86" t="s">
        <v>256</v>
      </c>
      <c r="D31" s="9"/>
      <c r="E31" s="9"/>
      <c r="F31" s="9"/>
      <c r="G31" s="46"/>
      <c r="H31" s="87" t="s">
        <v>160</v>
      </c>
      <c r="I31" s="87" t="s">
        <v>187</v>
      </c>
      <c r="J31" s="12" t="s">
        <v>165</v>
      </c>
      <c r="K31" s="87" t="s">
        <v>182</v>
      </c>
      <c r="L31" s="87" t="s">
        <v>183</v>
      </c>
      <c r="M31" s="87" t="str">
        <f>currency &amp;" p.a. lin."</f>
        <v>EUR p.a. lin.</v>
      </c>
      <c r="R31" s="116"/>
      <c r="S31" s="110"/>
      <c r="T31" s="117"/>
      <c r="U31" s="114"/>
      <c r="V31" s="110"/>
    </row>
    <row r="32" spans="3:22" ht="17.25" hidden="1" customHeight="1" outlineLevel="2">
      <c r="C32" s="86" t="s">
        <v>217</v>
      </c>
      <c r="D32" s="9"/>
      <c r="E32" s="9"/>
      <c r="F32" s="9"/>
      <c r="H32" s="49">
        <f>Annahmen!F55</f>
        <v>300000</v>
      </c>
      <c r="I32" s="140">
        <f>Annahmen!F44</f>
        <v>33.333333333333336</v>
      </c>
      <c r="J32" s="1">
        <f>Annahmen!$F$43</f>
        <v>46023</v>
      </c>
      <c r="K32" s="92">
        <f>Annahmen!F45</f>
        <v>0.05</v>
      </c>
      <c r="L32" s="92">
        <f>IFERROR(1/Annahmen!F44,0)</f>
        <v>0.03</v>
      </c>
      <c r="M32" s="49">
        <f>$H$32*$L$32</f>
        <v>9000</v>
      </c>
      <c r="S32" s="110"/>
      <c r="T32" s="117"/>
      <c r="U32" s="114"/>
      <c r="V32" s="110"/>
    </row>
    <row r="33" spans="1:22" ht="17.25" hidden="1" customHeight="1" outlineLevel="2">
      <c r="C33" s="86" t="s">
        <v>216</v>
      </c>
      <c r="D33" s="9"/>
      <c r="E33" s="9"/>
      <c r="F33" s="9"/>
      <c r="H33" s="47"/>
      <c r="I33" s="121" t="s">
        <v>197</v>
      </c>
      <c r="J33" s="91">
        <f>Annahmen!H43</f>
        <v>12</v>
      </c>
      <c r="S33" s="110"/>
      <c r="T33" s="117"/>
      <c r="U33" s="114"/>
      <c r="V33" s="110"/>
    </row>
    <row r="34" spans="1:22" ht="17.25" customHeight="1" outlineLevel="1" collapsed="1">
      <c r="C34" s="86"/>
      <c r="D34" s="9"/>
      <c r="E34" s="9"/>
      <c r="F34" s="9"/>
      <c r="S34" s="110"/>
      <c r="T34" s="117"/>
      <c r="U34" s="114"/>
      <c r="V34" s="110"/>
    </row>
    <row r="35" spans="1:22" ht="29.25" customHeight="1" thickBot="1">
      <c r="A35" s="139"/>
      <c r="B35" s="139" t="s">
        <v>211</v>
      </c>
      <c r="C35" s="136" t="s">
        <v>233</v>
      </c>
      <c r="D35" s="136"/>
      <c r="E35" s="136"/>
      <c r="F35" s="136"/>
      <c r="G35" s="136"/>
      <c r="H35" s="136"/>
      <c r="I35" s="136"/>
      <c r="J35" s="136"/>
      <c r="K35" s="136"/>
      <c r="L35" s="136"/>
      <c r="M35" s="136"/>
      <c r="N35" s="136"/>
      <c r="O35" s="136"/>
      <c r="P35" s="136"/>
      <c r="Q35" s="136"/>
      <c r="R35" s="136"/>
      <c r="S35" s="136"/>
      <c r="T35" s="136"/>
      <c r="U35" s="136"/>
      <c r="V35" s="136"/>
    </row>
    <row r="36" spans="1:22" ht="17.25" customHeight="1" outlineLevel="1">
      <c r="A36" s="46"/>
      <c r="C36" s="82"/>
      <c r="D36" s="9"/>
      <c r="E36" s="9"/>
      <c r="F36" s="9"/>
      <c r="H36" s="99">
        <f>H$6</f>
        <v>2026</v>
      </c>
      <c r="I36" s="99">
        <f>I$6</f>
        <v>2027</v>
      </c>
      <c r="J36" s="99">
        <f t="shared" ref="J36:V36" si="25">J$6</f>
        <v>2028</v>
      </c>
      <c r="K36" s="99">
        <f t="shared" si="25"/>
        <v>2029</v>
      </c>
      <c r="L36" s="99">
        <f t="shared" si="25"/>
        <v>2030</v>
      </c>
      <c r="M36" s="99">
        <f t="shared" si="25"/>
        <v>2031</v>
      </c>
      <c r="N36" s="99">
        <f t="shared" si="25"/>
        <v>2032</v>
      </c>
      <c r="O36" s="99">
        <f t="shared" si="25"/>
        <v>2033</v>
      </c>
      <c r="P36" s="99">
        <f t="shared" si="25"/>
        <v>2034</v>
      </c>
      <c r="Q36" s="99">
        <f t="shared" si="25"/>
        <v>2035</v>
      </c>
      <c r="R36" s="99">
        <f t="shared" si="25"/>
        <v>2036</v>
      </c>
      <c r="S36" s="99">
        <f t="shared" si="25"/>
        <v>2037</v>
      </c>
      <c r="T36" s="99">
        <f t="shared" si="25"/>
        <v>2038</v>
      </c>
      <c r="U36" s="99">
        <f t="shared" si="25"/>
        <v>2039</v>
      </c>
      <c r="V36" s="99">
        <f t="shared" si="25"/>
        <v>2040</v>
      </c>
    </row>
    <row r="37" spans="1:22" ht="26.25" customHeight="1" outlineLevel="1">
      <c r="A37" s="46"/>
      <c r="B37" s="185" t="s">
        <v>305</v>
      </c>
      <c r="C37" s="3" t="s">
        <v>225</v>
      </c>
      <c r="D37" s="9"/>
      <c r="E37" s="9"/>
      <c r="F37" s="9"/>
      <c r="G37" s="145"/>
      <c r="H37" s="146">
        <v>1</v>
      </c>
      <c r="I37" s="146">
        <f>H37+1</f>
        <v>2</v>
      </c>
      <c r="J37" s="146">
        <f t="shared" ref="J37" si="26">I37+1</f>
        <v>3</v>
      </c>
      <c r="K37" s="146">
        <f t="shared" ref="K37" si="27">J37+1</f>
        <v>4</v>
      </c>
      <c r="L37" s="146">
        <f t="shared" ref="L37" si="28">K37+1</f>
        <v>5</v>
      </c>
      <c r="M37" s="146">
        <f t="shared" ref="M37" si="29">L37+1</f>
        <v>6</v>
      </c>
      <c r="N37" s="146">
        <f t="shared" ref="N37" si="30">M37+1</f>
        <v>7</v>
      </c>
      <c r="O37" s="146">
        <f t="shared" ref="O37" si="31">N37+1</f>
        <v>8</v>
      </c>
      <c r="P37" s="146">
        <f t="shared" ref="P37" si="32">O37+1</f>
        <v>9</v>
      </c>
      <c r="Q37" s="146">
        <f t="shared" ref="Q37" si="33">P37+1</f>
        <v>10</v>
      </c>
      <c r="R37" s="146">
        <f t="shared" ref="R37" si="34">Q37+1</f>
        <v>11</v>
      </c>
      <c r="S37" s="146">
        <f t="shared" ref="S37" si="35">R37+1</f>
        <v>12</v>
      </c>
      <c r="T37" s="146">
        <f t="shared" ref="T37" si="36">S37+1</f>
        <v>13</v>
      </c>
      <c r="U37" s="146">
        <f t="shared" ref="U37" si="37">T37+1</f>
        <v>14</v>
      </c>
      <c r="V37" s="146">
        <f t="shared" ref="V37" si="38">U37+1</f>
        <v>15</v>
      </c>
    </row>
    <row r="38" spans="1:22" ht="17.25" customHeight="1" outlineLevel="1">
      <c r="A38" s="46"/>
      <c r="C38" s="152" t="str">
        <f>"Bilanzkonto: " &amp;C37</f>
        <v>Bilanzkonto: KfW-Förderdarlehen</v>
      </c>
      <c r="G38" s="147" t="s">
        <v>254</v>
      </c>
      <c r="H38" s="148">
        <f>Annahmen!F30</f>
        <v>10</v>
      </c>
      <c r="I38" s="148">
        <f>IF(I37&gt;Annahmen!$F$30,0,H38-1)</f>
        <v>9</v>
      </c>
      <c r="J38" s="148">
        <f>IF(J37&gt;Annahmen!$F$30,0,I38-1)</f>
        <v>8</v>
      </c>
      <c r="K38" s="148">
        <f>IF(K37&gt;Annahmen!$F$30,0,J38-1)</f>
        <v>7</v>
      </c>
      <c r="L38" s="148">
        <f>IF(L37&gt;Annahmen!$F$30,0,K38-1)</f>
        <v>6</v>
      </c>
      <c r="M38" s="148">
        <f>IF(M37&gt;Annahmen!$F$30,0,L38-1)</f>
        <v>5</v>
      </c>
      <c r="N38" s="148">
        <f>IF(N37&gt;Annahmen!$F$30,0,M38-1)</f>
        <v>4</v>
      </c>
      <c r="O38" s="148">
        <f>IF(O37&gt;Annahmen!$F$30,0,N38-1)</f>
        <v>3</v>
      </c>
      <c r="P38" s="148">
        <f>IF(P37&gt;Annahmen!$F$30,0,O38-1)</f>
        <v>2</v>
      </c>
      <c r="Q38" s="148">
        <f>IF(Q37&gt;Annahmen!$F$30,0,P38-1)</f>
        <v>1</v>
      </c>
      <c r="R38" s="148">
        <f>IF(R37&gt;Annahmen!$F$30,0,Q38-1)</f>
        <v>0</v>
      </c>
      <c r="S38" s="148">
        <f>IF(S37&gt;Annahmen!$F$30,0,R38-1)</f>
        <v>0</v>
      </c>
      <c r="T38" s="148">
        <f>IF(T37&gt;Annahmen!$F$30,0,S38-1)</f>
        <v>0</v>
      </c>
      <c r="U38" s="148">
        <f>IF(U37&gt;Annahmen!$F$30,0,T38-1)</f>
        <v>0</v>
      </c>
      <c r="V38" s="148">
        <f>IF(V37&gt;Annahmen!$F$30,0,U38-1)</f>
        <v>0</v>
      </c>
    </row>
    <row r="39" spans="1:22" ht="17.25" customHeight="1" outlineLevel="1">
      <c r="C39" t="s">
        <v>161</v>
      </c>
      <c r="D39" s="9" t="str">
        <f>currency</f>
        <v>EUR</v>
      </c>
      <c r="G39" s="149" t="s">
        <v>234</v>
      </c>
      <c r="H39" s="84">
        <f t="shared" ref="H39:J39" si="39">G41</f>
        <v>100000</v>
      </c>
      <c r="I39" s="84">
        <f t="shared" si="39"/>
        <v>100000</v>
      </c>
      <c r="J39" s="84">
        <f t="shared" si="39"/>
        <v>100000</v>
      </c>
      <c r="K39" s="84">
        <f t="shared" ref="K39" si="40">J41</f>
        <v>100000</v>
      </c>
      <c r="L39" s="84">
        <f t="shared" ref="L39" si="41">K41</f>
        <v>100000</v>
      </c>
      <c r="M39" s="84">
        <f t="shared" ref="M39" si="42">L41</f>
        <v>100000</v>
      </c>
      <c r="N39" s="84">
        <f t="shared" ref="N39" si="43">M41</f>
        <v>100000</v>
      </c>
      <c r="O39" s="84">
        <f t="shared" ref="O39" si="44">N41</f>
        <v>100000</v>
      </c>
      <c r="P39" s="84">
        <f t="shared" ref="P39" si="45">O41</f>
        <v>100000</v>
      </c>
      <c r="Q39" s="84">
        <f t="shared" ref="Q39" si="46">P41</f>
        <v>100000</v>
      </c>
      <c r="R39" s="84">
        <f t="shared" ref="R39" si="47">Q41</f>
        <v>0</v>
      </c>
      <c r="S39" s="84">
        <f t="shared" ref="S39" si="48">R41</f>
        <v>0</v>
      </c>
      <c r="T39" s="84">
        <f t="shared" ref="T39" si="49">S41</f>
        <v>0</v>
      </c>
      <c r="U39" s="84">
        <f t="shared" ref="U39" si="50">T41</f>
        <v>0</v>
      </c>
      <c r="V39" s="84">
        <f t="shared" ref="V39" si="51">U41</f>
        <v>0</v>
      </c>
    </row>
    <row r="40" spans="1:22" ht="17.25" customHeight="1" outlineLevel="1">
      <c r="C40" s="143" t="s">
        <v>235</v>
      </c>
      <c r="D40" s="9" t="str">
        <f>currency</f>
        <v>EUR</v>
      </c>
      <c r="E40" s="9" t="s">
        <v>253</v>
      </c>
      <c r="G40" s="50">
        <f>SUM(H40:V40)</f>
        <v>-100000</v>
      </c>
      <c r="H40" s="84">
        <f>IF(H$37=Annahmen!$F$30,-Annahmen!$F$29,0)</f>
        <v>0</v>
      </c>
      <c r="I40" s="84">
        <f>IF(I$37=Annahmen!$F$30,-Annahmen!$F$29,0)</f>
        <v>0</v>
      </c>
      <c r="J40" s="84">
        <f>IF(J$37=Annahmen!$F$30,-Annahmen!$F$29,0)</f>
        <v>0</v>
      </c>
      <c r="K40" s="84">
        <f>IF(K$37=Annahmen!$F$30,-Annahmen!$F$29,0)</f>
        <v>0</v>
      </c>
      <c r="L40" s="84">
        <f>IF(L$37=Annahmen!$F$30,-Annahmen!$F$29,0)</f>
        <v>0</v>
      </c>
      <c r="M40" s="84">
        <f>IF(M$37=Annahmen!$F$30,-Annahmen!$F$29,0)</f>
        <v>0</v>
      </c>
      <c r="N40" s="84">
        <f>IF(N$37=Annahmen!$F$30,-Annahmen!$F$29,0)</f>
        <v>0</v>
      </c>
      <c r="O40" s="84">
        <f>IF(O$37=Annahmen!$F$30,-Annahmen!$F$29,0)</f>
        <v>0</v>
      </c>
      <c r="P40" s="84">
        <f>IF(P$37=Annahmen!$F$30,-Annahmen!$F$29,0)</f>
        <v>0</v>
      </c>
      <c r="Q40" s="84">
        <f>IF(Q$37=Annahmen!$F$30,-Annahmen!$F$29,0)</f>
        <v>-100000</v>
      </c>
      <c r="R40" s="84">
        <f>IF(R$37=Annahmen!$F$30,-Annahmen!$F$29,0)</f>
        <v>0</v>
      </c>
      <c r="S40" s="84">
        <f>IF(S$37=Annahmen!$F$30,-Annahmen!$F$29,0)</f>
        <v>0</v>
      </c>
      <c r="T40" s="84">
        <f>IF(T$37=Annahmen!$F$30,-Annahmen!$F$29,0)</f>
        <v>0</v>
      </c>
      <c r="U40" s="84">
        <f>IF(U$37=Annahmen!$F$30,-Annahmen!$F$29,0)</f>
        <v>0</v>
      </c>
      <c r="V40" s="84">
        <f>IF(V$37=Annahmen!$F$30,-Annahmen!$F$29,0)</f>
        <v>0</v>
      </c>
    </row>
    <row r="41" spans="1:22" ht="17.25" customHeight="1" outlineLevel="1" thickBot="1">
      <c r="C41" s="24" t="s">
        <v>162</v>
      </c>
      <c r="D41" s="9" t="str">
        <f>currency</f>
        <v>EUR</v>
      </c>
      <c r="G41" s="49">
        <f>Annahmen!F29</f>
        <v>100000</v>
      </c>
      <c r="H41" s="150">
        <f t="shared" ref="H41:J41" si="52">ROUND(SUM(H39:H40),6)</f>
        <v>100000</v>
      </c>
      <c r="I41" s="150">
        <f t="shared" si="52"/>
        <v>100000</v>
      </c>
      <c r="J41" s="150">
        <f t="shared" si="52"/>
        <v>100000</v>
      </c>
      <c r="K41" s="150">
        <f t="shared" ref="K41:V41" si="53">ROUND(SUM(K39:K40),6)</f>
        <v>100000</v>
      </c>
      <c r="L41" s="150">
        <f t="shared" si="53"/>
        <v>100000</v>
      </c>
      <c r="M41" s="150">
        <f t="shared" si="53"/>
        <v>100000</v>
      </c>
      <c r="N41" s="150">
        <f t="shared" si="53"/>
        <v>100000</v>
      </c>
      <c r="O41" s="150">
        <f t="shared" si="53"/>
        <v>100000</v>
      </c>
      <c r="P41" s="150">
        <f t="shared" si="53"/>
        <v>100000</v>
      </c>
      <c r="Q41" s="150">
        <f t="shared" si="53"/>
        <v>0</v>
      </c>
      <c r="R41" s="150">
        <f t="shared" si="53"/>
        <v>0</v>
      </c>
      <c r="S41" s="150">
        <f t="shared" si="53"/>
        <v>0</v>
      </c>
      <c r="T41" s="150">
        <f t="shared" si="53"/>
        <v>0</v>
      </c>
      <c r="U41" s="150">
        <f t="shared" si="53"/>
        <v>0</v>
      </c>
      <c r="V41" s="150">
        <f t="shared" si="53"/>
        <v>0</v>
      </c>
    </row>
    <row r="42" spans="1:22" ht="17.25" customHeight="1" outlineLevel="1" thickTop="1">
      <c r="G42" s="151"/>
      <c r="H42" s="65"/>
      <c r="I42" s="65"/>
      <c r="J42" s="65"/>
      <c r="K42" s="65"/>
      <c r="L42" s="65"/>
      <c r="M42" s="65"/>
      <c r="N42" s="65"/>
      <c r="O42" s="65"/>
      <c r="P42" s="65"/>
      <c r="Q42" s="65"/>
      <c r="R42" s="65"/>
      <c r="S42" s="65"/>
      <c r="T42" s="65"/>
      <c r="U42" s="65"/>
      <c r="V42" s="65"/>
    </row>
    <row r="43" spans="1:22" ht="17.25" customHeight="1" outlineLevel="1">
      <c r="C43" s="24" t="s">
        <v>240</v>
      </c>
      <c r="D43" s="9" t="str">
        <f>currency</f>
        <v>EUR</v>
      </c>
      <c r="E43" s="163">
        <f>Annahmen!F31</f>
        <v>1.1299999999999999E-2</v>
      </c>
      <c r="G43" s="50">
        <f>SUM(H43:V43)</f>
        <v>-11300</v>
      </c>
      <c r="H43" s="84">
        <f>-Annahmen!$F$31*G41</f>
        <v>-1130</v>
      </c>
      <c r="I43" s="84">
        <f>-Annahmen!$F$31*H41</f>
        <v>-1130</v>
      </c>
      <c r="J43" s="84">
        <f>-Annahmen!$F$31*I41</f>
        <v>-1130</v>
      </c>
      <c r="K43" s="84">
        <f>-Annahmen!$F$31*J41</f>
        <v>-1130</v>
      </c>
      <c r="L43" s="84">
        <f>-Annahmen!$F$31*K41</f>
        <v>-1130</v>
      </c>
      <c r="M43" s="84">
        <f>-Annahmen!$F$31*L41</f>
        <v>-1130</v>
      </c>
      <c r="N43" s="84">
        <f>-Annahmen!$F$31*M41</f>
        <v>-1130</v>
      </c>
      <c r="O43" s="84">
        <f>-Annahmen!$F$31*N41</f>
        <v>-1130</v>
      </c>
      <c r="P43" s="84">
        <f>-Annahmen!$F$31*O41</f>
        <v>-1130</v>
      </c>
      <c r="Q43" s="84">
        <f>-Annahmen!$F$31*P41</f>
        <v>-1130</v>
      </c>
      <c r="R43" s="84">
        <f>-Annahmen!$F$31*Q41</f>
        <v>0</v>
      </c>
      <c r="S43" s="84">
        <f>-Annahmen!$F$31*R41</f>
        <v>0</v>
      </c>
      <c r="T43" s="84">
        <f>-Annahmen!$F$31*S41</f>
        <v>0</v>
      </c>
      <c r="U43" s="84">
        <f>-Annahmen!$F$31*T41</f>
        <v>0</v>
      </c>
      <c r="V43" s="84">
        <f>-Annahmen!$F$31*U41</f>
        <v>0</v>
      </c>
    </row>
    <row r="44" spans="1:22" ht="17.25" customHeight="1" outlineLevel="1">
      <c r="C44" t="s">
        <v>267</v>
      </c>
      <c r="D44" s="9" t="str">
        <f>currency</f>
        <v>EUR</v>
      </c>
      <c r="G44" s="88"/>
      <c r="H44" s="153">
        <f t="shared" ref="H44:V44" si="54">(H40+H43)/Monate_Jahr</f>
        <v>-94.166666666666671</v>
      </c>
      <c r="I44" s="153">
        <f t="shared" si="54"/>
        <v>-94.166666666666671</v>
      </c>
      <c r="J44" s="153">
        <f t="shared" si="54"/>
        <v>-94.166666666666671</v>
      </c>
      <c r="K44" s="153">
        <f t="shared" si="54"/>
        <v>-94.166666666666671</v>
      </c>
      <c r="L44" s="153">
        <f t="shared" si="54"/>
        <v>-94.166666666666671</v>
      </c>
      <c r="M44" s="153">
        <f t="shared" si="54"/>
        <v>-94.166666666666671</v>
      </c>
      <c r="N44" s="153">
        <f t="shared" si="54"/>
        <v>-94.166666666666671</v>
      </c>
      <c r="O44" s="153">
        <f t="shared" si="54"/>
        <v>-94.166666666666671</v>
      </c>
      <c r="P44" s="153">
        <f t="shared" si="54"/>
        <v>-94.166666666666671</v>
      </c>
      <c r="Q44" s="153">
        <f t="shared" si="54"/>
        <v>-8427.5</v>
      </c>
      <c r="R44" s="153">
        <f t="shared" si="54"/>
        <v>0</v>
      </c>
      <c r="S44" s="153">
        <f t="shared" si="54"/>
        <v>0</v>
      </c>
      <c r="T44" s="153">
        <f t="shared" si="54"/>
        <v>0</v>
      </c>
      <c r="U44" s="153">
        <f t="shared" si="54"/>
        <v>0</v>
      </c>
      <c r="V44" s="153">
        <f t="shared" si="54"/>
        <v>0</v>
      </c>
    </row>
    <row r="45" spans="1:22" ht="17.25" customHeight="1" outlineLevel="1"/>
    <row r="46" spans="1:22" ht="17.25" customHeight="1" outlineLevel="1"/>
    <row r="47" spans="1:22" ht="17.25" customHeight="1" outlineLevel="1">
      <c r="H47" s="99">
        <f>H$6</f>
        <v>2026</v>
      </c>
      <c r="I47" s="99">
        <f>I$6</f>
        <v>2027</v>
      </c>
      <c r="J47" s="99">
        <f t="shared" ref="J47:V47" si="55">J$6</f>
        <v>2028</v>
      </c>
      <c r="K47" s="99">
        <f t="shared" si="55"/>
        <v>2029</v>
      </c>
      <c r="L47" s="99">
        <f t="shared" si="55"/>
        <v>2030</v>
      </c>
      <c r="M47" s="99">
        <f t="shared" si="55"/>
        <v>2031</v>
      </c>
      <c r="N47" s="99">
        <f t="shared" si="55"/>
        <v>2032</v>
      </c>
      <c r="O47" s="99">
        <f t="shared" si="55"/>
        <v>2033</v>
      </c>
      <c r="P47" s="99">
        <f t="shared" si="55"/>
        <v>2034</v>
      </c>
      <c r="Q47" s="99">
        <f t="shared" si="55"/>
        <v>2035</v>
      </c>
      <c r="R47" s="99">
        <f t="shared" si="55"/>
        <v>2036</v>
      </c>
      <c r="S47" s="99">
        <f t="shared" si="55"/>
        <v>2037</v>
      </c>
      <c r="T47" s="99">
        <f t="shared" si="55"/>
        <v>2038</v>
      </c>
      <c r="U47" s="99">
        <f t="shared" si="55"/>
        <v>2039</v>
      </c>
      <c r="V47" s="99">
        <f t="shared" si="55"/>
        <v>2040</v>
      </c>
    </row>
    <row r="48" spans="1:22" ht="26.25" customHeight="1" outlineLevel="1">
      <c r="B48" s="185" t="s">
        <v>306</v>
      </c>
      <c r="C48" s="3" t="s">
        <v>227</v>
      </c>
      <c r="D48" s="9"/>
      <c r="E48" s="9"/>
      <c r="F48" s="9"/>
      <c r="G48" s="145"/>
      <c r="H48" s="146">
        <v>1</v>
      </c>
      <c r="I48" s="146">
        <f>H48+1</f>
        <v>2</v>
      </c>
      <c r="J48" s="146">
        <f t="shared" ref="J48:V48" si="56">I48+1</f>
        <v>3</v>
      </c>
      <c r="K48" s="146">
        <f t="shared" si="56"/>
        <v>4</v>
      </c>
      <c r="L48" s="146">
        <f t="shared" si="56"/>
        <v>5</v>
      </c>
      <c r="M48" s="146">
        <f t="shared" si="56"/>
        <v>6</v>
      </c>
      <c r="N48" s="146">
        <f t="shared" si="56"/>
        <v>7</v>
      </c>
      <c r="O48" s="146">
        <f t="shared" si="56"/>
        <v>8</v>
      </c>
      <c r="P48" s="146">
        <f t="shared" si="56"/>
        <v>9</v>
      </c>
      <c r="Q48" s="146">
        <f t="shared" si="56"/>
        <v>10</v>
      </c>
      <c r="R48" s="146">
        <f t="shared" si="56"/>
        <v>11</v>
      </c>
      <c r="S48" s="146">
        <f t="shared" si="56"/>
        <v>12</v>
      </c>
      <c r="T48" s="146">
        <f t="shared" si="56"/>
        <v>13</v>
      </c>
      <c r="U48" s="146">
        <f t="shared" si="56"/>
        <v>14</v>
      </c>
      <c r="V48" s="146">
        <f t="shared" si="56"/>
        <v>15</v>
      </c>
    </row>
    <row r="49" spans="3:22" ht="17.25" customHeight="1" outlineLevel="1">
      <c r="C49" s="152" t="str">
        <f>"Bilanzkonto: " &amp;C48</f>
        <v>Bilanzkonto: Bankdarlehen</v>
      </c>
      <c r="G49" s="147" t="s">
        <v>254</v>
      </c>
      <c r="H49" s="148">
        <f>Annahmen!F34</f>
        <v>10</v>
      </c>
      <c r="I49" s="148">
        <f>IF(I48&gt;Annahmen!$F$30,0,H49-1)</f>
        <v>9</v>
      </c>
      <c r="J49" s="148">
        <f>IF(J48&gt;Annahmen!$F$30,0,I49-1)</f>
        <v>8</v>
      </c>
      <c r="K49" s="148">
        <f>IF(K48&gt;Annahmen!$F$30,0,J49-1)</f>
        <v>7</v>
      </c>
      <c r="L49" s="148">
        <f>IF(L48&gt;Annahmen!$F$30,0,K49-1)</f>
        <v>6</v>
      </c>
      <c r="M49" s="148">
        <f>IF(M48&gt;Annahmen!$F$30,0,L49-1)</f>
        <v>5</v>
      </c>
      <c r="N49" s="148">
        <f>IF(N48&gt;Annahmen!$F$30,0,M49-1)</f>
        <v>4</v>
      </c>
      <c r="O49" s="148">
        <f>IF(O48&gt;Annahmen!$F$30,0,N49-1)</f>
        <v>3</v>
      </c>
      <c r="P49" s="148">
        <f>IF(P48&gt;Annahmen!$F$30,0,O49-1)</f>
        <v>2</v>
      </c>
      <c r="Q49" s="148">
        <f>IF(Q48&gt;Annahmen!$F$30,0,P49-1)</f>
        <v>1</v>
      </c>
      <c r="R49" s="148">
        <f>IF(R48&gt;Annahmen!$F$30,0,Q49-1)</f>
        <v>0</v>
      </c>
      <c r="S49" s="148">
        <f>IF(S48&gt;Annahmen!$F$30,0,R49-1)</f>
        <v>0</v>
      </c>
      <c r="T49" s="148">
        <f>IF(T48&gt;Annahmen!$F$30,0,S49-1)</f>
        <v>0</v>
      </c>
      <c r="U49" s="148">
        <f>IF(U48&gt;Annahmen!$F$30,0,T49-1)</f>
        <v>0</v>
      </c>
      <c r="V49" s="148">
        <f>IF(V48&gt;Annahmen!$F$30,0,U49-1)</f>
        <v>0</v>
      </c>
    </row>
    <row r="50" spans="3:22" ht="17.25" customHeight="1" outlineLevel="1">
      <c r="C50" t="s">
        <v>161</v>
      </c>
      <c r="D50" s="9" t="str">
        <f>currency</f>
        <v>EUR</v>
      </c>
      <c r="G50" s="149" t="s">
        <v>234</v>
      </c>
      <c r="H50" s="84">
        <f t="shared" ref="H50" si="57">IF(H49=0,0,G52)</f>
        <v>240000</v>
      </c>
      <c r="I50" s="84">
        <f t="shared" ref="I50" si="58">IF(I49=0,0,H52)</f>
        <v>235200</v>
      </c>
      <c r="J50" s="84">
        <f t="shared" ref="J50" si="59">IF(J49=0,0,I52)</f>
        <v>230212.8</v>
      </c>
      <c r="K50" s="84">
        <f t="shared" ref="K50" si="60">IF(K49=0,0,J52)</f>
        <v>225031.0992</v>
      </c>
      <c r="L50" s="84">
        <f t="shared" ref="L50" si="61">IF(L49=0,0,K52)</f>
        <v>219647.31206900001</v>
      </c>
      <c r="M50" s="84">
        <f t="shared" ref="M50" si="62">IF(M49=0,0,L52)</f>
        <v>214053.55723999999</v>
      </c>
      <c r="N50" s="84">
        <f t="shared" ref="N50" si="63">IF(N49=0,0,M52)</f>
        <v>208241.645972</v>
      </c>
      <c r="O50" s="84">
        <f t="shared" ref="O50" si="64">IF(O49=0,0,N52)</f>
        <v>202203.07016500001</v>
      </c>
      <c r="P50" s="84">
        <f t="shared" ref="P50" si="65">IF(P49=0,0,O52)</f>
        <v>195928.98990099999</v>
      </c>
      <c r="Q50" s="84">
        <f t="shared" ref="Q50" si="66">IF(Q49=0,0,P52)</f>
        <v>189410.22050699999</v>
      </c>
      <c r="R50" s="84">
        <f>IF(R49=0,0,Q52)</f>
        <v>0</v>
      </c>
      <c r="S50" s="84">
        <f t="shared" ref="S50:V50" si="67">IF(S49=0,0,R52)</f>
        <v>0</v>
      </c>
      <c r="T50" s="84">
        <f t="shared" si="67"/>
        <v>0</v>
      </c>
      <c r="U50" s="84">
        <f t="shared" si="67"/>
        <v>0</v>
      </c>
      <c r="V50" s="84">
        <f t="shared" si="67"/>
        <v>0</v>
      </c>
    </row>
    <row r="51" spans="3:22" ht="17.25" customHeight="1" outlineLevel="1">
      <c r="C51" s="143" t="s">
        <v>235</v>
      </c>
      <c r="D51" s="9" t="str">
        <f>currency</f>
        <v>EUR</v>
      </c>
      <c r="E51" s="163">
        <f>Annahmen!F35</f>
        <v>0.02</v>
      </c>
      <c r="G51" s="50">
        <f>SUM(H51:V51)</f>
        <v>-57362.780892894007</v>
      </c>
      <c r="H51" s="84">
        <f>-H56</f>
        <v>-4800</v>
      </c>
      <c r="I51" s="84">
        <f t="shared" ref="I51:V51" si="68">-I56</f>
        <v>-4987.2000000000007</v>
      </c>
      <c r="J51" s="84">
        <f t="shared" si="68"/>
        <v>-5181.7008000000005</v>
      </c>
      <c r="K51" s="84">
        <f t="shared" si="68"/>
        <v>-5383.7871312000007</v>
      </c>
      <c r="L51" s="84">
        <f t="shared" si="68"/>
        <v>-5593.7548293090003</v>
      </c>
      <c r="M51" s="84">
        <f t="shared" si="68"/>
        <v>-5811.91126764</v>
      </c>
      <c r="N51" s="84">
        <f t="shared" si="68"/>
        <v>-6038.5758070920001</v>
      </c>
      <c r="O51" s="84">
        <f t="shared" si="68"/>
        <v>-6274.0802635649998</v>
      </c>
      <c r="P51" s="84">
        <f t="shared" si="68"/>
        <v>-6518.769393861</v>
      </c>
      <c r="Q51" s="84">
        <f t="shared" si="68"/>
        <v>-6773.001400227</v>
      </c>
      <c r="R51" s="84">
        <f t="shared" si="68"/>
        <v>0</v>
      </c>
      <c r="S51" s="84">
        <f t="shared" si="68"/>
        <v>0</v>
      </c>
      <c r="T51" s="84">
        <f t="shared" si="68"/>
        <v>0</v>
      </c>
      <c r="U51" s="84">
        <f t="shared" si="68"/>
        <v>0</v>
      </c>
      <c r="V51" s="84">
        <f t="shared" si="68"/>
        <v>0</v>
      </c>
    </row>
    <row r="52" spans="3:22" ht="17.25" customHeight="1" outlineLevel="1" thickBot="1">
      <c r="C52" s="24" t="s">
        <v>162</v>
      </c>
      <c r="D52" s="9" t="str">
        <f>currency</f>
        <v>EUR</v>
      </c>
      <c r="G52" s="49">
        <f>Annahmen!F33</f>
        <v>240000</v>
      </c>
      <c r="H52" s="150">
        <f t="shared" ref="H52:I52" si="69">ROUND(SUM(H50:H51),6)</f>
        <v>235200</v>
      </c>
      <c r="I52" s="150">
        <f t="shared" si="69"/>
        <v>230212.8</v>
      </c>
      <c r="J52" s="150">
        <f t="shared" ref="J52:V52" si="70">ROUND(SUM(J50:J51),6)</f>
        <v>225031.0992</v>
      </c>
      <c r="K52" s="150">
        <f t="shared" si="70"/>
        <v>219647.31206900001</v>
      </c>
      <c r="L52" s="150">
        <f t="shared" si="70"/>
        <v>214053.55723999999</v>
      </c>
      <c r="M52" s="150">
        <f t="shared" si="70"/>
        <v>208241.645972</v>
      </c>
      <c r="N52" s="150">
        <f t="shared" si="70"/>
        <v>202203.07016500001</v>
      </c>
      <c r="O52" s="150">
        <f t="shared" si="70"/>
        <v>195928.98990099999</v>
      </c>
      <c r="P52" s="150">
        <f t="shared" si="70"/>
        <v>189410.22050699999</v>
      </c>
      <c r="Q52" s="150">
        <f t="shared" si="70"/>
        <v>182637.21910700001</v>
      </c>
      <c r="R52" s="150">
        <f t="shared" si="70"/>
        <v>0</v>
      </c>
      <c r="S52" s="150">
        <f t="shared" si="70"/>
        <v>0</v>
      </c>
      <c r="T52" s="150">
        <f t="shared" si="70"/>
        <v>0</v>
      </c>
      <c r="U52" s="150">
        <f t="shared" si="70"/>
        <v>0</v>
      </c>
      <c r="V52" s="150">
        <f t="shared" si="70"/>
        <v>0</v>
      </c>
    </row>
    <row r="53" spans="3:22" ht="17.25" customHeight="1" outlineLevel="1" thickTop="1">
      <c r="G53" s="151"/>
      <c r="H53" s="65"/>
      <c r="I53" s="65"/>
      <c r="J53" s="65"/>
      <c r="K53" s="65"/>
      <c r="L53" s="65"/>
      <c r="M53" s="65"/>
      <c r="N53" s="65"/>
      <c r="O53" s="65"/>
      <c r="P53" s="65"/>
      <c r="Q53" s="65"/>
      <c r="R53" s="65"/>
      <c r="S53" s="65"/>
      <c r="T53" s="65"/>
      <c r="U53" s="65"/>
      <c r="V53" s="65"/>
    </row>
    <row r="54" spans="3:22" ht="17.25" customHeight="1" outlineLevel="1">
      <c r="C54" s="183" t="s">
        <v>304</v>
      </c>
      <c r="E54" s="49">
        <f>Annahmen!J35</f>
        <v>14160</v>
      </c>
      <c r="G54" s="50">
        <f>SUM(H54:V54)</f>
        <v>141600</v>
      </c>
      <c r="H54" s="84">
        <f>IF(H48&lt;=10,$E54,0)</f>
        <v>14160</v>
      </c>
      <c r="I54" s="84">
        <f>IF(I48&lt;=10,$E54,0)</f>
        <v>14160</v>
      </c>
      <c r="J54" s="84">
        <f t="shared" ref="J54:V54" si="71">IF(J48&lt;=10,$E54,0)</f>
        <v>14160</v>
      </c>
      <c r="K54" s="84">
        <f t="shared" si="71"/>
        <v>14160</v>
      </c>
      <c r="L54" s="84">
        <f t="shared" si="71"/>
        <v>14160</v>
      </c>
      <c r="M54" s="84">
        <f t="shared" si="71"/>
        <v>14160</v>
      </c>
      <c r="N54" s="84">
        <f t="shared" si="71"/>
        <v>14160</v>
      </c>
      <c r="O54" s="84">
        <f t="shared" si="71"/>
        <v>14160</v>
      </c>
      <c r="P54" s="84">
        <f t="shared" si="71"/>
        <v>14160</v>
      </c>
      <c r="Q54" s="84">
        <f t="shared" si="71"/>
        <v>14160</v>
      </c>
      <c r="R54" s="84">
        <f t="shared" si="71"/>
        <v>0</v>
      </c>
      <c r="S54" s="84">
        <f t="shared" si="71"/>
        <v>0</v>
      </c>
      <c r="T54" s="84">
        <f t="shared" si="71"/>
        <v>0</v>
      </c>
      <c r="U54" s="84">
        <f t="shared" si="71"/>
        <v>0</v>
      </c>
      <c r="V54" s="84">
        <f t="shared" si="71"/>
        <v>0</v>
      </c>
    </row>
    <row r="55" spans="3:22" ht="17.25" customHeight="1" outlineLevel="1">
      <c r="C55" s="184" t="s">
        <v>240</v>
      </c>
      <c r="D55" s="9" t="str">
        <f>currency</f>
        <v>EUR</v>
      </c>
      <c r="E55" s="163">
        <f>Annahmen!F36</f>
        <v>3.9E-2</v>
      </c>
      <c r="G55" s="50">
        <f>SUM(H55:V55)</f>
        <v>-84237.219107105993</v>
      </c>
      <c r="H55" s="84">
        <f>IF(H49=0,0,-Annahmen!$F$36*G52)</f>
        <v>-9360</v>
      </c>
      <c r="I55" s="84">
        <f>IF(I49=0,0,-Annahmen!$F$36*H52)</f>
        <v>-9172.7999999999993</v>
      </c>
      <c r="J55" s="84">
        <f>IF(J49=0,0,-Annahmen!$F$36*I52)</f>
        <v>-8978.2991999999995</v>
      </c>
      <c r="K55" s="84">
        <f>IF(K49=0,0,-Annahmen!$F$36*J52)</f>
        <v>-8776.2128687999993</v>
      </c>
      <c r="L55" s="84">
        <f>IF(L49=0,0,-Annahmen!$F$36*K52)</f>
        <v>-8566.2451706909997</v>
      </c>
      <c r="M55" s="84">
        <f>IF(M49=0,0,-Annahmen!$F$36*L52)</f>
        <v>-8348.08873236</v>
      </c>
      <c r="N55" s="84">
        <f>IF(N49=0,0,-Annahmen!$F$36*M52)</f>
        <v>-8121.4241929079999</v>
      </c>
      <c r="O55" s="84">
        <f>IF(O49=0,0,-Annahmen!$F$36*N52)</f>
        <v>-7885.9197364350002</v>
      </c>
      <c r="P55" s="84">
        <f>IF(P49=0,0,-Annahmen!$F$36*O52)</f>
        <v>-7641.230606139</v>
      </c>
      <c r="Q55" s="84">
        <f>IF(Q49=0,0,-Annahmen!$F$36*P52)</f>
        <v>-7386.998599773</v>
      </c>
      <c r="R55" s="84">
        <f>IF(R49=0,0,-Annahmen!$F$36*Q52)</f>
        <v>0</v>
      </c>
      <c r="S55" s="84">
        <f>IF(S49=0,0,-Annahmen!$F$36*R52)</f>
        <v>0</v>
      </c>
      <c r="T55" s="84">
        <f>IF(T49=0,0,-Annahmen!$F$36*S52)</f>
        <v>0</v>
      </c>
      <c r="U55" s="84">
        <f>IF(U49=0,0,-Annahmen!$F$36*T52)</f>
        <v>0</v>
      </c>
      <c r="V55" s="84">
        <f>IF(V49=0,0,-Annahmen!$F$36*U52)</f>
        <v>0</v>
      </c>
    </row>
    <row r="56" spans="3:22" ht="17.25" customHeight="1" outlineLevel="1">
      <c r="C56" s="184" t="s">
        <v>235</v>
      </c>
      <c r="G56" s="50">
        <f>SUM(H56:V56)</f>
        <v>57362.780892894007</v>
      </c>
      <c r="H56" s="113">
        <f t="shared" ref="H56:I56" si="72">SUM(H54:H55)</f>
        <v>4800</v>
      </c>
      <c r="I56" s="113">
        <f t="shared" si="72"/>
        <v>4987.2000000000007</v>
      </c>
      <c r="J56" s="113">
        <f t="shared" ref="J56:V56" si="73">SUM(J54:J55)</f>
        <v>5181.7008000000005</v>
      </c>
      <c r="K56" s="113">
        <f t="shared" si="73"/>
        <v>5383.7871312000007</v>
      </c>
      <c r="L56" s="113">
        <f t="shared" si="73"/>
        <v>5593.7548293090003</v>
      </c>
      <c r="M56" s="113">
        <f t="shared" si="73"/>
        <v>5811.91126764</v>
      </c>
      <c r="N56" s="113">
        <f t="shared" si="73"/>
        <v>6038.5758070920001</v>
      </c>
      <c r="O56" s="113">
        <f t="shared" si="73"/>
        <v>6274.0802635649998</v>
      </c>
      <c r="P56" s="113">
        <f t="shared" si="73"/>
        <v>6518.769393861</v>
      </c>
      <c r="Q56" s="113">
        <f t="shared" si="73"/>
        <v>6773.001400227</v>
      </c>
      <c r="R56" s="113">
        <f t="shared" si="73"/>
        <v>0</v>
      </c>
      <c r="S56" s="113">
        <f t="shared" si="73"/>
        <v>0</v>
      </c>
      <c r="T56" s="113">
        <f t="shared" si="73"/>
        <v>0</v>
      </c>
      <c r="U56" s="113">
        <f t="shared" si="73"/>
        <v>0</v>
      </c>
      <c r="V56" s="113">
        <f t="shared" si="73"/>
        <v>0</v>
      </c>
    </row>
    <row r="57" spans="3:22" ht="17.25" customHeight="1" outlineLevel="1">
      <c r="K57" s="84"/>
      <c r="L57" s="84"/>
      <c r="M57" s="84"/>
      <c r="N57" s="84"/>
      <c r="O57" s="84"/>
      <c r="P57" s="84"/>
      <c r="Q57" s="84"/>
      <c r="R57" s="84"/>
      <c r="S57" s="84"/>
      <c r="T57" s="84"/>
      <c r="U57" s="84"/>
      <c r="V57" s="84"/>
    </row>
    <row r="58" spans="3:22" ht="17.25" customHeight="1" outlineLevel="1">
      <c r="C58" t="s">
        <v>267</v>
      </c>
      <c r="D58" s="9" t="str">
        <f>currency</f>
        <v>EUR</v>
      </c>
      <c r="G58" s="88"/>
      <c r="H58" s="153">
        <f t="shared" ref="H58:V58" si="74">H54/Monate_Jahr</f>
        <v>1180</v>
      </c>
      <c r="I58" s="153">
        <f t="shared" si="74"/>
        <v>1180</v>
      </c>
      <c r="J58" s="153">
        <f t="shared" si="74"/>
        <v>1180</v>
      </c>
      <c r="K58" s="153">
        <f t="shared" si="74"/>
        <v>1180</v>
      </c>
      <c r="L58" s="153">
        <f t="shared" si="74"/>
        <v>1180</v>
      </c>
      <c r="M58" s="153">
        <f t="shared" si="74"/>
        <v>1180</v>
      </c>
      <c r="N58" s="153">
        <f t="shared" si="74"/>
        <v>1180</v>
      </c>
      <c r="O58" s="153">
        <f t="shared" si="74"/>
        <v>1180</v>
      </c>
      <c r="P58" s="153">
        <f t="shared" si="74"/>
        <v>1180</v>
      </c>
      <c r="Q58" s="153">
        <f t="shared" si="74"/>
        <v>1180</v>
      </c>
      <c r="R58" s="153">
        <f t="shared" si="74"/>
        <v>0</v>
      </c>
      <c r="S58" s="153">
        <f t="shared" si="74"/>
        <v>0</v>
      </c>
      <c r="T58" s="153">
        <f t="shared" si="74"/>
        <v>0</v>
      </c>
      <c r="U58" s="153">
        <f t="shared" si="74"/>
        <v>0</v>
      </c>
      <c r="V58" s="153">
        <f t="shared" si="74"/>
        <v>0</v>
      </c>
    </row>
    <row r="59" spans="3:22" ht="17.25" customHeight="1" outlineLevel="1"/>
    <row r="60" spans="3:22" ht="17.25" customHeight="1" outlineLevel="1"/>
    <row r="61" spans="3:22" ht="17.25" customHeight="1"/>
    <row r="62" spans="3:22" ht="17.25" customHeight="1"/>
    <row r="63" spans="3:22" ht="17.25" customHeight="1"/>
    <row r="64" spans="3:22"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sheetData>
  <conditionalFormatting sqref="E8">
    <cfRule type="cellIs" dxfId="12" priority="1" stopIfTrue="1" operator="equal">
      <formula>1</formula>
    </cfRule>
  </conditionalFormatting>
  <conditionalFormatting sqref="E16">
    <cfRule type="cellIs" dxfId="11" priority="2" stopIfTrue="1" operator="equal">
      <formula>1</formula>
    </cfRule>
  </conditionalFormatting>
  <pageMargins left="0.51181102362204722" right="0.19685039370078741" top="0.59055118110236227" bottom="0.39370078740157483" header="0.31496062992125984" footer="0.31496062992125984"/>
  <pageSetup paperSize="9" scale="24"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E8234-83ED-4E5A-B1C1-BBAD8BE911EA}">
  <sheetPr>
    <tabColor rgb="FFFF0000"/>
  </sheetPr>
  <dimension ref="A1:S67"/>
  <sheetViews>
    <sheetView showGridLines="0" topLeftCell="A8" zoomScale="130" zoomScaleNormal="130" workbookViewId="0">
      <selection activeCell="B2" sqref="B2"/>
    </sheetView>
  </sheetViews>
  <sheetFormatPr baseColWidth="10" defaultColWidth="0" defaultRowHeight="12.75"/>
  <cols>
    <col min="1" max="1" width="4.140625" customWidth="1"/>
    <col min="2" max="2" width="5" customWidth="1"/>
    <col min="3" max="3" width="63.28515625" customWidth="1"/>
    <col min="4" max="4" width="12.85546875" customWidth="1"/>
    <col min="5" max="6" width="8.42578125" customWidth="1"/>
    <col min="7" max="7" width="9.7109375" customWidth="1"/>
    <col min="8" max="8" width="13.42578125" customWidth="1"/>
    <col min="9" max="18" width="11.42578125" customWidth="1"/>
    <col min="19" max="19" width="4.5703125" customWidth="1"/>
    <col min="20" max="16384" width="11.42578125" hidden="1"/>
  </cols>
  <sheetData>
    <row r="1" spans="1:18" ht="29.25" customHeight="1">
      <c r="A1" s="40"/>
      <c r="B1" s="40" t="str">
        <f>"Übersicht &amp; Ergebnisse: " &amp;Name_Projekt</f>
        <v>Übersicht &amp; Ergebnisse: Neubau ETW (Hauptstr. 45)</v>
      </c>
      <c r="C1" s="40"/>
      <c r="D1" s="40"/>
      <c r="E1" s="40"/>
      <c r="F1" s="40"/>
      <c r="G1" s="40"/>
      <c r="H1" s="40"/>
      <c r="I1" s="40"/>
      <c r="J1" s="40"/>
      <c r="K1" s="40"/>
      <c r="L1" s="40"/>
      <c r="M1" s="40"/>
      <c r="N1" s="40"/>
      <c r="O1" s="40"/>
      <c r="P1" s="40"/>
      <c r="Q1" s="40"/>
      <c r="R1" s="40"/>
    </row>
    <row r="3" spans="1:18" ht="17.25" customHeight="1">
      <c r="I3" s="146">
        <v>1</v>
      </c>
      <c r="J3" s="146">
        <f t="shared" ref="J3:R3" si="0">I3+1</f>
        <v>2</v>
      </c>
      <c r="K3" s="146">
        <f t="shared" si="0"/>
        <v>3</v>
      </c>
      <c r="L3" s="146">
        <f t="shared" si="0"/>
        <v>4</v>
      </c>
      <c r="M3" s="146">
        <f t="shared" si="0"/>
        <v>5</v>
      </c>
      <c r="N3" s="146">
        <f t="shared" si="0"/>
        <v>6</v>
      </c>
      <c r="O3" s="146">
        <f t="shared" si="0"/>
        <v>7</v>
      </c>
      <c r="P3" s="146">
        <f t="shared" si="0"/>
        <v>8</v>
      </c>
      <c r="Q3" s="146">
        <f t="shared" si="0"/>
        <v>9</v>
      </c>
      <c r="R3" s="146">
        <f t="shared" si="0"/>
        <v>10</v>
      </c>
    </row>
    <row r="4" spans="1:18" ht="24" customHeight="1">
      <c r="B4" s="177" t="s">
        <v>127</v>
      </c>
      <c r="C4" s="135" t="s">
        <v>248</v>
      </c>
      <c r="I4" s="99">
        <f>Berechnungen!H$6</f>
        <v>2026</v>
      </c>
      <c r="J4" s="99">
        <f>Berechnungen!I$6</f>
        <v>2027</v>
      </c>
      <c r="K4" s="99">
        <f>Berechnungen!J$6</f>
        <v>2028</v>
      </c>
      <c r="L4" s="99">
        <f>Berechnungen!K$6</f>
        <v>2029</v>
      </c>
      <c r="M4" s="99">
        <f>Berechnungen!L$6</f>
        <v>2030</v>
      </c>
      <c r="N4" s="99">
        <f>Berechnungen!M$6</f>
        <v>2031</v>
      </c>
      <c r="O4" s="99">
        <f>Berechnungen!N$6</f>
        <v>2032</v>
      </c>
      <c r="P4" s="99">
        <f>Berechnungen!O$6</f>
        <v>2033</v>
      </c>
      <c r="Q4" s="99">
        <f>Berechnungen!P$6</f>
        <v>2034</v>
      </c>
      <c r="R4" s="99">
        <f>Berechnungen!Q$6</f>
        <v>2035</v>
      </c>
    </row>
    <row r="5" spans="1:18" ht="17.25" customHeight="1">
      <c r="C5" t="s">
        <v>238</v>
      </c>
      <c r="D5" s="9" t="str">
        <f>currency</f>
        <v>EUR</v>
      </c>
      <c r="I5" s="84">
        <f t="shared" ref="I5:R5" si="1">I15</f>
        <v>15300</v>
      </c>
      <c r="J5" s="84">
        <f t="shared" si="1"/>
        <v>15529.499999999998</v>
      </c>
      <c r="K5" s="84">
        <f t="shared" si="1"/>
        <v>15762.442499999997</v>
      </c>
      <c r="L5" s="84">
        <f t="shared" si="1"/>
        <v>15998.879137499996</v>
      </c>
      <c r="M5" s="84">
        <f t="shared" si="1"/>
        <v>16238.862324562495</v>
      </c>
      <c r="N5" s="84">
        <f t="shared" si="1"/>
        <v>16482.44525943093</v>
      </c>
      <c r="O5" s="84">
        <f t="shared" si="1"/>
        <v>16729.681938322392</v>
      </c>
      <c r="P5" s="84">
        <f t="shared" si="1"/>
        <v>16980.627167397226</v>
      </c>
      <c r="Q5" s="84">
        <f t="shared" si="1"/>
        <v>17235.336574908182</v>
      </c>
      <c r="R5" s="84">
        <f t="shared" si="1"/>
        <v>17493.866623531805</v>
      </c>
    </row>
    <row r="6" spans="1:18" ht="17.25" customHeight="1">
      <c r="C6" t="s">
        <v>243</v>
      </c>
      <c r="D6" s="9"/>
      <c r="I6" s="84"/>
      <c r="J6" s="84"/>
      <c r="K6" s="84"/>
      <c r="L6" s="84"/>
      <c r="M6" s="84"/>
      <c r="N6" s="84"/>
      <c r="O6" s="84"/>
      <c r="P6" s="84"/>
      <c r="Q6" s="84"/>
      <c r="R6" s="84"/>
    </row>
    <row r="7" spans="1:18" ht="17.25" customHeight="1">
      <c r="C7" s="74" t="s">
        <v>239</v>
      </c>
      <c r="D7" s="9" t="str">
        <f>currency</f>
        <v>EUR</v>
      </c>
      <c r="I7" s="84">
        <f t="shared" ref="I7:R7" si="2">I16</f>
        <v>-1050</v>
      </c>
      <c r="J7" s="84">
        <f t="shared" si="2"/>
        <v>-1050</v>
      </c>
      <c r="K7" s="84">
        <f t="shared" si="2"/>
        <v>-1050</v>
      </c>
      <c r="L7" s="84">
        <f t="shared" si="2"/>
        <v>-1050</v>
      </c>
      <c r="M7" s="84">
        <f t="shared" si="2"/>
        <v>-1050</v>
      </c>
      <c r="N7" s="84">
        <f t="shared" si="2"/>
        <v>-1050</v>
      </c>
      <c r="O7" s="84">
        <f t="shared" si="2"/>
        <v>-1050</v>
      </c>
      <c r="P7" s="84">
        <f t="shared" si="2"/>
        <v>-1050</v>
      </c>
      <c r="Q7" s="84">
        <f t="shared" si="2"/>
        <v>-1050</v>
      </c>
      <c r="R7" s="84">
        <f t="shared" si="2"/>
        <v>-1050</v>
      </c>
    </row>
    <row r="8" spans="1:18" ht="17.25" customHeight="1">
      <c r="C8" s="74" t="s">
        <v>242</v>
      </c>
      <c r="D8" s="9" t="str">
        <f>currency</f>
        <v>EUR</v>
      </c>
      <c r="I8" s="48">
        <f>-SUM(Berechnungen!H8:H10)</f>
        <v>-15000</v>
      </c>
      <c r="J8" s="48">
        <f>-SUM(Berechnungen!I8:I10)</f>
        <v>-14250</v>
      </c>
      <c r="K8" s="48">
        <f>-SUM(Berechnungen!J8:J10)</f>
        <v>-13537.5</v>
      </c>
      <c r="L8" s="48">
        <f>-SUM(Berechnungen!K8:K10)</f>
        <v>-12860.625</v>
      </c>
      <c r="M8" s="48">
        <f>-SUM(Berechnungen!L8:L10)</f>
        <v>-12217.59375</v>
      </c>
      <c r="N8" s="48">
        <f>-SUM(Berechnungen!M8:M10)</f>
        <v>-11606.714062500001</v>
      </c>
      <c r="O8" s="48">
        <f>-SUM(Berechnungen!N8:N10)</f>
        <v>-11026.378359375001</v>
      </c>
      <c r="P8" s="48">
        <f>-SUM(Berechnungen!O8:O10)</f>
        <v>-10475.059441406251</v>
      </c>
      <c r="Q8" s="48">
        <f>-SUM(Berechnungen!P8:P10)</f>
        <v>-9951.3064693359374</v>
      </c>
      <c r="R8" s="48">
        <f>-SUM(Berechnungen!Q8:Q10)</f>
        <v>-9453.7411458691404</v>
      </c>
    </row>
    <row r="9" spans="1:18" ht="17.25" customHeight="1">
      <c r="C9" s="74" t="s">
        <v>240</v>
      </c>
      <c r="D9" s="9" t="str">
        <f>currency</f>
        <v>EUR</v>
      </c>
      <c r="I9" s="84">
        <f t="shared" ref="I9:R9" si="3">I18</f>
        <v>-10490</v>
      </c>
      <c r="J9" s="84">
        <f t="shared" si="3"/>
        <v>-10302.799999999999</v>
      </c>
      <c r="K9" s="84">
        <f t="shared" si="3"/>
        <v>-10108.299199999999</v>
      </c>
      <c r="L9" s="84">
        <f t="shared" si="3"/>
        <v>-9906.2128687999993</v>
      </c>
      <c r="M9" s="84">
        <f t="shared" si="3"/>
        <v>-9696.2451706909997</v>
      </c>
      <c r="N9" s="84">
        <f t="shared" si="3"/>
        <v>-9478.08873236</v>
      </c>
      <c r="O9" s="84">
        <f t="shared" si="3"/>
        <v>-9251.4241929079999</v>
      </c>
      <c r="P9" s="84">
        <f t="shared" si="3"/>
        <v>-9015.9197364350002</v>
      </c>
      <c r="Q9" s="84">
        <f t="shared" si="3"/>
        <v>-8771.2306061390009</v>
      </c>
      <c r="R9" s="84">
        <f t="shared" si="3"/>
        <v>-8516.998599773</v>
      </c>
    </row>
    <row r="10" spans="1:18" ht="17.25" customHeight="1" thickBot="1">
      <c r="C10" s="155" t="s">
        <v>241</v>
      </c>
      <c r="D10" s="156" t="str">
        <f>currency</f>
        <v>EUR</v>
      </c>
      <c r="E10" s="155"/>
      <c r="F10" s="155"/>
      <c r="G10" s="155"/>
      <c r="H10" s="155"/>
      <c r="I10" s="157">
        <f t="shared" ref="I10:R10" si="4">SUM(I4:I9)</f>
        <v>-9214</v>
      </c>
      <c r="J10" s="157">
        <f t="shared" si="4"/>
        <v>-8046.2999999999993</v>
      </c>
      <c r="K10" s="157">
        <f t="shared" si="4"/>
        <v>-6905.3567000000021</v>
      </c>
      <c r="L10" s="157">
        <f t="shared" si="4"/>
        <v>-5788.9587313000029</v>
      </c>
      <c r="M10" s="157">
        <f t="shared" si="4"/>
        <v>-4694.9765961285048</v>
      </c>
      <c r="N10" s="157">
        <f t="shared" si="4"/>
        <v>-3621.3575354290715</v>
      </c>
      <c r="O10" s="157">
        <f t="shared" si="4"/>
        <v>-2566.1206139606093</v>
      </c>
      <c r="P10" s="157">
        <f t="shared" si="4"/>
        <v>-1527.3520104440249</v>
      </c>
      <c r="Q10" s="157">
        <f t="shared" si="4"/>
        <v>-503.20050056675609</v>
      </c>
      <c r="R10" s="157">
        <f t="shared" si="4"/>
        <v>508.12687788966468</v>
      </c>
    </row>
    <row r="11" spans="1:18" ht="17.25" customHeight="1" thickTop="1"/>
    <row r="12" spans="1:18" ht="24" customHeight="1" thickBot="1">
      <c r="B12" s="177" t="s">
        <v>211</v>
      </c>
      <c r="C12" s="135" t="s">
        <v>249</v>
      </c>
      <c r="D12" s="9" t="str">
        <f>currency</f>
        <v>EUR</v>
      </c>
      <c r="E12" s="161">
        <f>Annahmen!F40</f>
        <v>0.443</v>
      </c>
      <c r="F12" s="118" t="s">
        <v>268</v>
      </c>
      <c r="G12" s="118"/>
      <c r="H12" s="9"/>
      <c r="I12" s="157">
        <f t="shared" ref="I12:R12" si="5">-$E12*I10</f>
        <v>4081.8020000000001</v>
      </c>
      <c r="J12" s="157">
        <f t="shared" si="5"/>
        <v>3564.5108999999998</v>
      </c>
      <c r="K12" s="157">
        <f t="shared" si="5"/>
        <v>3059.0730181000008</v>
      </c>
      <c r="L12" s="157">
        <f t="shared" si="5"/>
        <v>2564.5087179659013</v>
      </c>
      <c r="M12" s="157">
        <f t="shared" si="5"/>
        <v>2079.8746320849277</v>
      </c>
      <c r="N12" s="157">
        <f t="shared" si="5"/>
        <v>1604.2613881950788</v>
      </c>
      <c r="O12" s="157">
        <f t="shared" si="5"/>
        <v>1136.7914319845499</v>
      </c>
      <c r="P12" s="157">
        <f t="shared" si="5"/>
        <v>676.61694062670301</v>
      </c>
      <c r="Q12" s="157">
        <f t="shared" si="5"/>
        <v>222.91782175107295</v>
      </c>
      <c r="R12" s="157">
        <f t="shared" si="5"/>
        <v>-225.10020690512147</v>
      </c>
    </row>
    <row r="13" spans="1:18" ht="17.25" customHeight="1" thickTop="1"/>
    <row r="14" spans="1:18" ht="24" customHeight="1">
      <c r="B14" s="177" t="s">
        <v>252</v>
      </c>
      <c r="C14" s="135" t="s">
        <v>299</v>
      </c>
      <c r="D14" s="9" t="s">
        <v>295</v>
      </c>
    </row>
    <row r="15" spans="1:18" ht="17.25" customHeight="1">
      <c r="C15" t="s">
        <v>238</v>
      </c>
      <c r="D15" s="9" t="str">
        <f>currency</f>
        <v>EUR</v>
      </c>
      <c r="E15" s="161">
        <f>Annahmen!$F$20</f>
        <v>1.4999999999999999E-2</v>
      </c>
      <c r="I15" s="84">
        <f>Annahmen!J19</f>
        <v>15300</v>
      </c>
      <c r="J15" s="84">
        <f t="shared" ref="J15:R15" si="6">I15*(1+$E15)</f>
        <v>15529.499999999998</v>
      </c>
      <c r="K15" s="84">
        <f t="shared" si="6"/>
        <v>15762.442499999997</v>
      </c>
      <c r="L15" s="84">
        <f t="shared" si="6"/>
        <v>15998.879137499996</v>
      </c>
      <c r="M15" s="84">
        <f t="shared" si="6"/>
        <v>16238.862324562495</v>
      </c>
      <c r="N15" s="84">
        <f t="shared" si="6"/>
        <v>16482.44525943093</v>
      </c>
      <c r="O15" s="84">
        <f t="shared" si="6"/>
        <v>16729.681938322392</v>
      </c>
      <c r="P15" s="84">
        <f t="shared" si="6"/>
        <v>16980.627167397226</v>
      </c>
      <c r="Q15" s="84">
        <f t="shared" si="6"/>
        <v>17235.336574908182</v>
      </c>
      <c r="R15" s="84">
        <f t="shared" si="6"/>
        <v>17493.866623531805</v>
      </c>
    </row>
    <row r="16" spans="1:18" ht="17.25" customHeight="1">
      <c r="C16" t="s">
        <v>239</v>
      </c>
      <c r="D16" s="9" t="str">
        <f>currency</f>
        <v>EUR</v>
      </c>
      <c r="I16" s="84">
        <f>-Annahmen!$J$21</f>
        <v>-1050</v>
      </c>
      <c r="J16" s="84">
        <f>-Annahmen!$J$21</f>
        <v>-1050</v>
      </c>
      <c r="K16" s="84">
        <f>-Annahmen!$J$21</f>
        <v>-1050</v>
      </c>
      <c r="L16" s="84">
        <f>-Annahmen!$J$21</f>
        <v>-1050</v>
      </c>
      <c r="M16" s="84">
        <f>-Annahmen!$J$21</f>
        <v>-1050</v>
      </c>
      <c r="N16" s="84">
        <f>-Annahmen!$J$21</f>
        <v>-1050</v>
      </c>
      <c r="O16" s="84">
        <f>-Annahmen!$J$21</f>
        <v>-1050</v>
      </c>
      <c r="P16" s="84">
        <f>-Annahmen!$J$21</f>
        <v>-1050</v>
      </c>
      <c r="Q16" s="84">
        <f>-Annahmen!$J$21</f>
        <v>-1050</v>
      </c>
      <c r="R16" s="84">
        <f>-Annahmen!$J$21</f>
        <v>-1050</v>
      </c>
    </row>
    <row r="17" spans="2:18" ht="17.25" customHeight="1">
      <c r="C17" t="s">
        <v>255</v>
      </c>
      <c r="D17" s="9"/>
      <c r="I17" s="84"/>
      <c r="J17" s="84"/>
      <c r="K17" s="84"/>
      <c r="L17" s="84"/>
      <c r="M17" s="84"/>
      <c r="N17" s="84"/>
      <c r="O17" s="84"/>
      <c r="P17" s="84"/>
      <c r="Q17" s="84"/>
      <c r="R17" s="84"/>
    </row>
    <row r="18" spans="2:18" ht="17.25" customHeight="1">
      <c r="C18" s="74" t="s">
        <v>240</v>
      </c>
      <c r="D18" s="9" t="str">
        <f>currency</f>
        <v>EUR</v>
      </c>
      <c r="I18" s="84">
        <f>Berechnungen!H43+Berechnungen!H55</f>
        <v>-10490</v>
      </c>
      <c r="J18" s="84">
        <f>Berechnungen!I43+Berechnungen!I55</f>
        <v>-10302.799999999999</v>
      </c>
      <c r="K18" s="84">
        <f>Berechnungen!J43+Berechnungen!J55</f>
        <v>-10108.299199999999</v>
      </c>
      <c r="L18" s="84">
        <f>Berechnungen!K43+Berechnungen!K55</f>
        <v>-9906.2128687999993</v>
      </c>
      <c r="M18" s="84">
        <f>Berechnungen!L43+Berechnungen!L55</f>
        <v>-9696.2451706909997</v>
      </c>
      <c r="N18" s="84">
        <f>Berechnungen!M43+Berechnungen!M55</f>
        <v>-9478.08873236</v>
      </c>
      <c r="O18" s="84">
        <f>Berechnungen!N43+Berechnungen!N55</f>
        <v>-9251.4241929079999</v>
      </c>
      <c r="P18" s="84">
        <f>Berechnungen!O43+Berechnungen!O55</f>
        <v>-9015.9197364350002</v>
      </c>
      <c r="Q18" s="84">
        <f>Berechnungen!P43+Berechnungen!P55</f>
        <v>-8771.2306061390009</v>
      </c>
      <c r="R18" s="84">
        <f>Berechnungen!Q43+Berechnungen!Q55</f>
        <v>-8516.998599773</v>
      </c>
    </row>
    <row r="19" spans="2:18" ht="17.25" customHeight="1">
      <c r="C19" s="74" t="s">
        <v>235</v>
      </c>
      <c r="D19" s="9" t="str">
        <f>currency</f>
        <v>EUR</v>
      </c>
      <c r="I19" s="84">
        <f>Berechnungen!H40+Berechnungen!H51</f>
        <v>-4800</v>
      </c>
      <c r="J19" s="84">
        <f>Berechnungen!I40+Berechnungen!I51</f>
        <v>-4987.2000000000007</v>
      </c>
      <c r="K19" s="84">
        <f>Berechnungen!J40+Berechnungen!J51</f>
        <v>-5181.7008000000005</v>
      </c>
      <c r="L19" s="84">
        <f>Berechnungen!K40+Berechnungen!K51</f>
        <v>-5383.7871312000007</v>
      </c>
      <c r="M19" s="84">
        <f>Berechnungen!L40+Berechnungen!L51</f>
        <v>-5593.7548293090003</v>
      </c>
      <c r="N19" s="84">
        <f>Berechnungen!M40+Berechnungen!M51</f>
        <v>-5811.91126764</v>
      </c>
      <c r="O19" s="84">
        <f>Berechnungen!N40+Berechnungen!N51</f>
        <v>-6038.5758070920001</v>
      </c>
      <c r="P19" s="84">
        <f>Berechnungen!O40+Berechnungen!O51</f>
        <v>-6274.0802635649998</v>
      </c>
      <c r="Q19" s="84">
        <f>Berechnungen!P40+Berechnungen!P51</f>
        <v>-6518.769393861</v>
      </c>
      <c r="R19" s="84">
        <f>Berechnungen!Q40+Berechnungen!Q51</f>
        <v>-106773.001400227</v>
      </c>
    </row>
    <row r="20" spans="2:18" ht="17.25" customHeight="1" thickBot="1">
      <c r="C20" s="155" t="s">
        <v>241</v>
      </c>
      <c r="D20" s="156" t="str">
        <f>currency</f>
        <v>EUR</v>
      </c>
      <c r="E20" s="155"/>
      <c r="F20" s="155"/>
      <c r="G20" s="155"/>
      <c r="H20" s="155"/>
      <c r="I20" s="157">
        <f t="shared" ref="I20:R20" si="7">SUM(I15:I19)</f>
        <v>-1040</v>
      </c>
      <c r="J20" s="157">
        <f t="shared" si="7"/>
        <v>-810.50000000000182</v>
      </c>
      <c r="K20" s="157">
        <f t="shared" si="7"/>
        <v>-577.55750000000262</v>
      </c>
      <c r="L20" s="157">
        <f t="shared" si="7"/>
        <v>-341.12086250000357</v>
      </c>
      <c r="M20" s="157">
        <f t="shared" si="7"/>
        <v>-101.1376754375051</v>
      </c>
      <c r="N20" s="157">
        <f t="shared" si="7"/>
        <v>142.44525943092958</v>
      </c>
      <c r="O20" s="157">
        <f t="shared" si="7"/>
        <v>389.68193832239194</v>
      </c>
      <c r="P20" s="157">
        <f t="shared" si="7"/>
        <v>640.627167397226</v>
      </c>
      <c r="Q20" s="157">
        <f t="shared" si="7"/>
        <v>895.33657490818132</v>
      </c>
      <c r="R20" s="157">
        <f t="shared" si="7"/>
        <v>-98846.133376468206</v>
      </c>
    </row>
    <row r="21" spans="2:18" ht="17.25" customHeight="1" thickTop="1">
      <c r="D21" s="9"/>
      <c r="I21" s="84"/>
      <c r="J21" s="84"/>
      <c r="K21" s="84"/>
      <c r="L21" s="84"/>
      <c r="M21" s="84"/>
      <c r="N21" s="84"/>
      <c r="O21" s="84"/>
      <c r="P21" s="84"/>
      <c r="Q21" s="84"/>
      <c r="R21" s="84"/>
    </row>
    <row r="22" spans="2:18" ht="24" customHeight="1" thickBot="1">
      <c r="B22" s="177" t="s">
        <v>251</v>
      </c>
      <c r="C22" s="135" t="s">
        <v>250</v>
      </c>
      <c r="E22" s="189"/>
      <c r="I22" s="169">
        <f t="shared" ref="I22:R22" si="8">I20+I12</f>
        <v>3041.8020000000001</v>
      </c>
      <c r="J22" s="169">
        <f t="shared" si="8"/>
        <v>2754.0108999999979</v>
      </c>
      <c r="K22" s="169">
        <f t="shared" si="8"/>
        <v>2481.5155180999982</v>
      </c>
      <c r="L22" s="169">
        <f t="shared" si="8"/>
        <v>2223.3878554658977</v>
      </c>
      <c r="M22" s="169">
        <f t="shared" si="8"/>
        <v>1978.7369566474226</v>
      </c>
      <c r="N22" s="169">
        <f t="shared" si="8"/>
        <v>1746.7066476260084</v>
      </c>
      <c r="O22" s="169">
        <f t="shared" si="8"/>
        <v>1526.4733703069419</v>
      </c>
      <c r="P22" s="169">
        <f t="shared" si="8"/>
        <v>1317.2441080239291</v>
      </c>
      <c r="Q22" s="169">
        <f t="shared" si="8"/>
        <v>1118.2543966592543</v>
      </c>
      <c r="R22" s="169">
        <f t="shared" si="8"/>
        <v>-99071.233583373323</v>
      </c>
    </row>
    <row r="23" spans="2:18" ht="17.25" customHeight="1" thickTop="1"/>
    <row r="24" spans="2:18" ht="24" customHeight="1">
      <c r="B24" s="177" t="s">
        <v>270</v>
      </c>
      <c r="C24" s="135" t="s">
        <v>271</v>
      </c>
      <c r="D24" s="9" t="str">
        <f>currency</f>
        <v>EUR</v>
      </c>
      <c r="E24" s="161">
        <f>Annahmen!F23</f>
        <v>1.4999999999999999E-2</v>
      </c>
      <c r="F24" s="161">
        <f>Annahmen!F24</f>
        <v>0.02</v>
      </c>
      <c r="I24" s="84">
        <f>Annahmen!F15-Annahmen!F16</f>
        <v>370000</v>
      </c>
      <c r="J24" s="84">
        <f t="shared" ref="J24:Q24" si="9">$I24*((1+$E24)/(1+$F24))^J3</f>
        <v>366381.43983083422</v>
      </c>
      <c r="K24" s="84">
        <f t="shared" si="9"/>
        <v>364585.45238068304</v>
      </c>
      <c r="L24" s="84">
        <f t="shared" si="9"/>
        <v>362798.26879058161</v>
      </c>
      <c r="M24" s="84">
        <f t="shared" si="9"/>
        <v>361019.84590435319</v>
      </c>
      <c r="N24" s="84">
        <f t="shared" si="9"/>
        <v>359250.14077737107</v>
      </c>
      <c r="O24" s="84">
        <f t="shared" si="9"/>
        <v>357489.11067552114</v>
      </c>
      <c r="P24" s="84">
        <f t="shared" si="9"/>
        <v>355736.71307417052</v>
      </c>
      <c r="Q24" s="84">
        <f t="shared" si="9"/>
        <v>353992.90565714025</v>
      </c>
      <c r="R24" s="84">
        <f>$I24*((1+$E24)/(1+$F24))^R3</f>
        <v>352257.64631568361</v>
      </c>
    </row>
    <row r="25" spans="2:18" ht="17.25" customHeight="1">
      <c r="C25" s="9" t="s">
        <v>296</v>
      </c>
      <c r="F25" s="9" t="s">
        <v>314</v>
      </c>
      <c r="J25" s="182"/>
      <c r="R25" s="190"/>
    </row>
    <row r="26" spans="2:18" ht="17.25" customHeight="1"/>
    <row r="27" spans="2:18" ht="17.25" customHeight="1">
      <c r="H27" s="162" t="s">
        <v>298</v>
      </c>
      <c r="I27" s="146">
        <v>1</v>
      </c>
      <c r="J27" s="146">
        <f>I27+1</f>
        <v>2</v>
      </c>
      <c r="K27" s="146">
        <f>J27+1</f>
        <v>3</v>
      </c>
      <c r="L27" s="146">
        <f t="shared" ref="L27:R27" si="10">K27+1</f>
        <v>4</v>
      </c>
      <c r="M27" s="146">
        <f t="shared" si="10"/>
        <v>5</v>
      </c>
      <c r="N27" s="146">
        <f t="shared" si="10"/>
        <v>6</v>
      </c>
      <c r="O27" s="146">
        <f t="shared" si="10"/>
        <v>7</v>
      </c>
      <c r="P27" s="146">
        <f t="shared" si="10"/>
        <v>8</v>
      </c>
      <c r="Q27" s="146">
        <f t="shared" si="10"/>
        <v>9</v>
      </c>
      <c r="R27" s="146">
        <f t="shared" si="10"/>
        <v>10</v>
      </c>
    </row>
    <row r="28" spans="2:18" ht="24" customHeight="1">
      <c r="B28" s="177" t="s">
        <v>275</v>
      </c>
      <c r="C28" s="135" t="s">
        <v>297</v>
      </c>
      <c r="H28" s="179">
        <f>EOMONTH(I28,-Monate_Jahr)</f>
        <v>46022</v>
      </c>
      <c r="I28" s="179">
        <f>DATE(I4,12,31)</f>
        <v>46387</v>
      </c>
      <c r="J28" s="179">
        <f t="shared" ref="J28:R28" si="11">EOMONTH(I28,Monate_Jahr)</f>
        <v>46752</v>
      </c>
      <c r="K28" s="179">
        <f t="shared" si="11"/>
        <v>47118</v>
      </c>
      <c r="L28" s="179">
        <f t="shared" si="11"/>
        <v>47483</v>
      </c>
      <c r="M28" s="179">
        <f t="shared" si="11"/>
        <v>47848</v>
      </c>
      <c r="N28" s="179">
        <f t="shared" si="11"/>
        <v>48213</v>
      </c>
      <c r="O28" s="179">
        <f t="shared" si="11"/>
        <v>48579</v>
      </c>
      <c r="P28" s="179">
        <f t="shared" si="11"/>
        <v>48944</v>
      </c>
      <c r="Q28" s="179">
        <f t="shared" si="11"/>
        <v>49309</v>
      </c>
      <c r="R28" s="179">
        <f t="shared" si="11"/>
        <v>49674</v>
      </c>
    </row>
    <row r="29" spans="2:18" ht="17.25" customHeight="1">
      <c r="C29" t="s">
        <v>276</v>
      </c>
      <c r="D29" s="9" t="str">
        <f>currency</f>
        <v>EUR</v>
      </c>
      <c r="R29" s="84">
        <f>R24</f>
        <v>352257.64631568361</v>
      </c>
    </row>
    <row r="30" spans="2:18" ht="17.25" customHeight="1">
      <c r="C30" t="s">
        <v>279</v>
      </c>
      <c r="D30" s="9" t="str">
        <f>currency</f>
        <v>EUR</v>
      </c>
      <c r="R30" s="48">
        <f>-Berechnungen!Q52</f>
        <v>-182637.21910700001</v>
      </c>
    </row>
    <row r="31" spans="2:18" ht="17.25" customHeight="1">
      <c r="C31" t="s">
        <v>280</v>
      </c>
      <c r="D31" s="9" t="str">
        <f>currency</f>
        <v>EUR</v>
      </c>
      <c r="H31" s="48">
        <f>-Annahmen!$F$27</f>
        <v>-50000</v>
      </c>
      <c r="R31" s="48"/>
    </row>
    <row r="32" spans="2:18" ht="17.25" customHeight="1">
      <c r="C32" t="s">
        <v>277</v>
      </c>
      <c r="D32" s="9" t="str">
        <f>currency</f>
        <v>EUR</v>
      </c>
      <c r="I32" s="48">
        <f t="shared" ref="I32:R32" si="12">I22</f>
        <v>3041.8020000000001</v>
      </c>
      <c r="J32" s="48">
        <f t="shared" si="12"/>
        <v>2754.0108999999979</v>
      </c>
      <c r="K32" s="48">
        <f t="shared" si="12"/>
        <v>2481.5155180999982</v>
      </c>
      <c r="L32" s="48">
        <f t="shared" si="12"/>
        <v>2223.3878554658977</v>
      </c>
      <c r="M32" s="48">
        <f t="shared" si="12"/>
        <v>1978.7369566474226</v>
      </c>
      <c r="N32" s="48">
        <f t="shared" si="12"/>
        <v>1746.7066476260084</v>
      </c>
      <c r="O32" s="48">
        <f t="shared" si="12"/>
        <v>1526.4733703069419</v>
      </c>
      <c r="P32" s="48">
        <f t="shared" si="12"/>
        <v>1317.2441080239291</v>
      </c>
      <c r="Q32" s="48">
        <f t="shared" si="12"/>
        <v>1118.2543966592543</v>
      </c>
      <c r="R32" s="48">
        <f t="shared" si="12"/>
        <v>-99071.233583373323</v>
      </c>
    </row>
    <row r="33" spans="3:18" ht="17.25" customHeight="1" thickBot="1">
      <c r="C33" s="155" t="s">
        <v>278</v>
      </c>
      <c r="D33" s="155" t="s">
        <v>315</v>
      </c>
      <c r="E33" s="170">
        <f>SUM(H33:R33)</f>
        <v>38737.325378139736</v>
      </c>
      <c r="F33" s="155"/>
      <c r="G33" s="155"/>
      <c r="H33" s="170">
        <f t="shared" ref="H33:R33" si="13">SUM(H29:H32)</f>
        <v>-50000</v>
      </c>
      <c r="I33" s="170">
        <f t="shared" si="13"/>
        <v>3041.8020000000001</v>
      </c>
      <c r="J33" s="170">
        <f t="shared" si="13"/>
        <v>2754.0108999999979</v>
      </c>
      <c r="K33" s="170">
        <f t="shared" si="13"/>
        <v>2481.5155180999982</v>
      </c>
      <c r="L33" s="170">
        <f t="shared" si="13"/>
        <v>2223.3878554658977</v>
      </c>
      <c r="M33" s="170">
        <f t="shared" si="13"/>
        <v>1978.7369566474226</v>
      </c>
      <c r="N33" s="170">
        <f t="shared" si="13"/>
        <v>1746.7066476260084</v>
      </c>
      <c r="O33" s="170">
        <f t="shared" si="13"/>
        <v>1526.4733703069419</v>
      </c>
      <c r="P33" s="170">
        <f t="shared" si="13"/>
        <v>1317.2441080239291</v>
      </c>
      <c r="Q33" s="170">
        <f t="shared" si="13"/>
        <v>1118.2543966592543</v>
      </c>
      <c r="R33" s="170">
        <f t="shared" si="13"/>
        <v>70549.193625310276</v>
      </c>
    </row>
    <row r="34" spans="3:18" ht="11.25" customHeight="1" thickTop="1"/>
    <row r="35" spans="3:18" ht="17.25" customHeight="1">
      <c r="C35" s="178" t="s">
        <v>310</v>
      </c>
      <c r="D35" s="9" t="s">
        <v>104</v>
      </c>
      <c r="H35" s="171">
        <f>XIRR(H33:R33,H28:R28)</f>
        <v>6.9271132349967957E-2</v>
      </c>
      <c r="I35" s="48"/>
    </row>
    <row r="36" spans="3:18" ht="17.25" customHeight="1"/>
    <row r="37" spans="3:18" ht="17.25" customHeight="1">
      <c r="H37" s="48"/>
      <c r="I37" s="145"/>
    </row>
    <row r="38" spans="3:18" ht="17.25" customHeight="1"/>
    <row r="39" spans="3:18" ht="17.25" customHeight="1"/>
    <row r="40" spans="3:18" ht="17.25" customHeight="1"/>
    <row r="41" spans="3:18" ht="17.25" customHeight="1"/>
    <row r="42" spans="3:18" ht="17.25" customHeight="1"/>
    <row r="43" spans="3:18" ht="17.25" customHeight="1"/>
    <row r="44" spans="3:18" ht="17.25" customHeight="1"/>
    <row r="45" spans="3:18" ht="17.25" customHeight="1"/>
    <row r="46" spans="3:18" ht="17.25" customHeight="1"/>
    <row r="47" spans="3:18" ht="17.25" customHeight="1"/>
    <row r="48" spans="3:1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35DE0-FB6C-40EC-885B-1666D570B087}">
  <sheetPr>
    <tabColor rgb="FF00B0F0"/>
    <pageSetUpPr fitToPage="1"/>
  </sheetPr>
  <dimension ref="A1:M90"/>
  <sheetViews>
    <sheetView showGridLines="0" showRowColHeaders="0" zoomScale="115" zoomScaleNormal="115" workbookViewId="0"/>
  </sheetViews>
  <sheetFormatPr baseColWidth="10" defaultColWidth="0" defaultRowHeight="12.75" customHeight="1" zeroHeight="1"/>
  <cols>
    <col min="1" max="1" width="4.5703125" style="194" customWidth="1"/>
    <col min="2" max="2" width="71.42578125" style="194" customWidth="1"/>
    <col min="3" max="3" width="8.7109375" style="194" customWidth="1"/>
    <col min="4" max="4" width="56" style="194" customWidth="1"/>
    <col min="5" max="5" width="8.7109375" style="194" customWidth="1"/>
    <col min="6" max="6" width="64.28515625" style="194" customWidth="1"/>
    <col min="7" max="7" width="4.5703125" style="194" customWidth="1"/>
    <col min="8" max="13" width="0" style="194" hidden="1" customWidth="1"/>
    <col min="14" max="16384" width="11.42578125" style="194" hidden="1"/>
  </cols>
  <sheetData>
    <row r="1" spans="1:7">
      <c r="A1" s="199" t="s">
        <v>330</v>
      </c>
      <c r="B1" s="199"/>
      <c r="C1" s="199"/>
      <c r="D1" s="199"/>
      <c r="E1" s="199"/>
      <c r="F1" s="199"/>
      <c r="G1" s="199"/>
    </row>
    <row r="2" spans="1:7">
      <c r="A2" s="199"/>
      <c r="B2" s="204"/>
      <c r="C2" s="204"/>
      <c r="D2" s="204"/>
      <c r="E2" s="204"/>
      <c r="F2" s="204"/>
      <c r="G2" s="195"/>
    </row>
    <row r="3" spans="1:7">
      <c r="A3" s="199"/>
      <c r="B3" s="204"/>
      <c r="G3" s="195"/>
    </row>
    <row r="4" spans="1:7">
      <c r="A4" s="199"/>
      <c r="B4" s="204"/>
      <c r="G4" s="195"/>
    </row>
    <row r="5" spans="1:7">
      <c r="A5" s="199"/>
      <c r="B5" s="204"/>
      <c r="G5" s="195"/>
    </row>
    <row r="6" spans="1:7">
      <c r="A6" s="199"/>
      <c r="B6" s="204"/>
      <c r="G6" s="195"/>
    </row>
    <row r="7" spans="1:7" ht="26.25">
      <c r="A7" s="199"/>
      <c r="B7" s="207" t="s">
        <v>323</v>
      </c>
      <c r="C7" s="203"/>
      <c r="D7" s="203"/>
      <c r="G7" s="195"/>
    </row>
    <row r="8" spans="1:7" ht="18">
      <c r="A8" s="199"/>
      <c r="B8" s="204"/>
      <c r="C8" s="203"/>
      <c r="D8" s="203"/>
      <c r="G8" s="195"/>
    </row>
    <row r="9" spans="1:7" ht="26.25">
      <c r="A9" s="199"/>
      <c r="B9" s="206" t="s">
        <v>322</v>
      </c>
      <c r="C9" s="203"/>
      <c r="D9" s="203"/>
      <c r="G9" s="195"/>
    </row>
    <row r="10" spans="1:7" ht="26.25">
      <c r="A10" s="199"/>
      <c r="B10" s="206" t="s">
        <v>321</v>
      </c>
      <c r="C10" s="203"/>
      <c r="D10" s="203"/>
      <c r="G10" s="195"/>
    </row>
    <row r="11" spans="1:7" ht="26.25">
      <c r="A11" s="199"/>
      <c r="B11" s="206" t="s">
        <v>320</v>
      </c>
      <c r="C11" s="203"/>
      <c r="D11" s="203"/>
      <c r="G11" s="195"/>
    </row>
    <row r="12" spans="1:7" ht="26.25">
      <c r="A12" s="199"/>
      <c r="B12" s="206"/>
      <c r="C12" s="203"/>
      <c r="D12" s="203"/>
      <c r="G12" s="195"/>
    </row>
    <row r="13" spans="1:7" ht="18">
      <c r="A13" s="199"/>
      <c r="B13" s="204"/>
      <c r="C13" s="203"/>
      <c r="D13" s="203"/>
      <c r="G13" s="195"/>
    </row>
    <row r="14" spans="1:7" ht="18">
      <c r="A14" s="199"/>
      <c r="B14" s="204"/>
      <c r="C14" s="203"/>
      <c r="D14" s="203"/>
      <c r="G14" s="195"/>
    </row>
    <row r="15" spans="1:7" ht="18">
      <c r="A15" s="199"/>
      <c r="B15" s="204"/>
      <c r="C15" s="203"/>
      <c r="D15" s="203"/>
      <c r="G15" s="195"/>
    </row>
    <row r="16" spans="1:7" ht="18">
      <c r="A16" s="199"/>
      <c r="B16" s="204"/>
      <c r="C16" s="203"/>
      <c r="D16" s="203"/>
      <c r="G16" s="195"/>
    </row>
    <row r="17" spans="1:7" ht="18">
      <c r="A17" s="199"/>
      <c r="B17" s="204"/>
      <c r="C17" s="203"/>
      <c r="D17" s="203"/>
      <c r="G17" s="195"/>
    </row>
    <row r="18" spans="1:7" ht="18">
      <c r="A18" s="199"/>
      <c r="B18" s="204"/>
      <c r="C18" s="203"/>
      <c r="D18" s="203"/>
      <c r="G18" s="195"/>
    </row>
    <row r="19" spans="1:7" ht="20.25">
      <c r="A19" s="199"/>
      <c r="B19" s="205"/>
      <c r="C19" s="203"/>
      <c r="D19" s="203"/>
      <c r="G19" s="195"/>
    </row>
    <row r="20" spans="1:7" ht="27" customHeight="1">
      <c r="A20" s="199"/>
      <c r="B20" s="205" t="s">
        <v>319</v>
      </c>
      <c r="C20" s="203"/>
      <c r="D20" s="203"/>
      <c r="G20" s="195"/>
    </row>
    <row r="21" spans="1:7" ht="18">
      <c r="A21" s="199"/>
      <c r="B21" s="204"/>
      <c r="C21" s="203"/>
      <c r="D21" s="203"/>
      <c r="G21" s="195"/>
    </row>
    <row r="22" spans="1:7" ht="18">
      <c r="A22" s="199"/>
      <c r="B22" s="204"/>
      <c r="C22" s="203"/>
      <c r="D22" s="203"/>
      <c r="G22" s="195"/>
    </row>
    <row r="23" spans="1:7">
      <c r="A23" s="199"/>
      <c r="B23" s="199"/>
      <c r="C23" s="199"/>
      <c r="D23" s="199"/>
      <c r="E23" s="199"/>
      <c r="F23" s="199"/>
      <c r="G23" s="199"/>
    </row>
    <row r="24" spans="1:7">
      <c r="A24" s="199"/>
      <c r="B24" s="199"/>
      <c r="C24" s="199"/>
      <c r="D24" s="199"/>
      <c r="E24" s="199"/>
      <c r="F24" s="199"/>
      <c r="G24" s="199"/>
    </row>
    <row r="25" spans="1:7" ht="33" customHeight="1">
      <c r="A25" s="199"/>
      <c r="B25" s="202"/>
      <c r="C25" s="199"/>
      <c r="D25" s="199"/>
      <c r="E25" s="201"/>
      <c r="F25" s="199"/>
      <c r="G25" s="199"/>
    </row>
    <row r="26" spans="1:7" ht="18" customHeight="1">
      <c r="A26" s="199"/>
      <c r="B26" s="196"/>
      <c r="C26" s="198"/>
      <c r="D26" s="196"/>
      <c r="E26" s="197"/>
      <c r="F26" s="196"/>
      <c r="G26" s="195"/>
    </row>
    <row r="27" spans="1:7" ht="18" customHeight="1">
      <c r="A27" s="199"/>
      <c r="B27" s="196"/>
      <c r="C27" s="198"/>
      <c r="D27" s="196"/>
      <c r="E27" s="197"/>
      <c r="F27" s="196"/>
      <c r="G27" s="195"/>
    </row>
    <row r="28" spans="1:7" ht="18" customHeight="1">
      <c r="A28" s="199"/>
      <c r="B28" s="200"/>
      <c r="C28" s="198"/>
      <c r="D28" s="196"/>
      <c r="E28" s="197"/>
      <c r="F28" s="196"/>
      <c r="G28" s="195"/>
    </row>
    <row r="29" spans="1:7" ht="18" customHeight="1">
      <c r="A29" s="199"/>
      <c r="B29" s="196"/>
      <c r="C29" s="198"/>
      <c r="D29" s="196"/>
      <c r="E29" s="197"/>
      <c r="F29" s="196"/>
      <c r="G29" s="195"/>
    </row>
    <row r="30" spans="1:7" ht="18" customHeight="1">
      <c r="A30" s="199"/>
      <c r="B30" s="196"/>
      <c r="C30" s="198"/>
      <c r="D30" s="196"/>
      <c r="E30" s="197"/>
      <c r="F30" s="196"/>
      <c r="G30" s="195"/>
    </row>
    <row r="31" spans="1:7" ht="18" customHeight="1">
      <c r="A31" s="199"/>
      <c r="B31" s="196"/>
      <c r="C31" s="198"/>
      <c r="D31" s="196"/>
      <c r="E31" s="197"/>
      <c r="F31" s="196"/>
      <c r="G31" s="195"/>
    </row>
    <row r="32" spans="1:7" ht="18" customHeight="1">
      <c r="A32" s="199"/>
      <c r="B32" s="196"/>
      <c r="C32" s="198"/>
      <c r="D32" s="196"/>
      <c r="E32" s="197"/>
      <c r="F32" s="196"/>
      <c r="G32" s="195"/>
    </row>
    <row r="33" spans="1:7" ht="18" customHeight="1">
      <c r="A33" s="199"/>
      <c r="B33" s="196"/>
      <c r="C33" s="198"/>
      <c r="D33" s="196"/>
      <c r="E33" s="197"/>
      <c r="F33" s="196"/>
      <c r="G33" s="195"/>
    </row>
    <row r="34" spans="1:7" ht="18" customHeight="1">
      <c r="A34" s="199"/>
      <c r="B34" s="196"/>
      <c r="C34" s="198"/>
      <c r="D34" s="196"/>
      <c r="E34" s="197"/>
      <c r="F34" s="196"/>
      <c r="G34" s="195"/>
    </row>
    <row r="35" spans="1:7" ht="18" customHeight="1">
      <c r="A35" s="199"/>
      <c r="B35" s="196"/>
      <c r="C35" s="198"/>
      <c r="D35" s="196"/>
      <c r="E35" s="197"/>
      <c r="F35" s="196"/>
      <c r="G35" s="195"/>
    </row>
    <row r="36" spans="1:7" ht="18" customHeight="1">
      <c r="A36" s="199"/>
      <c r="B36" s="196"/>
      <c r="C36" s="198"/>
      <c r="D36" s="196"/>
      <c r="E36" s="197"/>
      <c r="F36" s="196"/>
      <c r="G36" s="195"/>
    </row>
    <row r="37" spans="1:7" ht="18" customHeight="1">
      <c r="A37" s="199"/>
      <c r="B37" s="196"/>
      <c r="C37" s="198"/>
      <c r="D37" s="196"/>
      <c r="E37" s="197"/>
      <c r="F37" s="196"/>
      <c r="G37" s="195"/>
    </row>
    <row r="38" spans="1:7" ht="18" customHeight="1">
      <c r="A38" s="199"/>
      <c r="B38" s="196"/>
      <c r="C38" s="198"/>
      <c r="D38" s="196"/>
      <c r="E38" s="197"/>
      <c r="F38" s="196"/>
      <c r="G38" s="195"/>
    </row>
    <row r="39" spans="1:7" ht="18" customHeight="1">
      <c r="A39" s="199"/>
      <c r="B39" s="196"/>
      <c r="C39" s="198"/>
      <c r="D39" s="196"/>
      <c r="E39" s="197"/>
      <c r="F39" s="196"/>
      <c r="G39" s="195"/>
    </row>
    <row r="40" spans="1:7" ht="18" customHeight="1">
      <c r="A40" s="199"/>
      <c r="B40" s="196"/>
      <c r="C40" s="198"/>
      <c r="D40" s="196"/>
      <c r="E40" s="197"/>
      <c r="F40" s="196"/>
      <c r="G40" s="195"/>
    </row>
    <row r="41" spans="1:7" ht="18" customHeight="1">
      <c r="A41" s="199"/>
      <c r="B41" s="196"/>
      <c r="C41" s="198"/>
      <c r="D41" s="196"/>
      <c r="E41" s="197"/>
      <c r="F41" s="196"/>
      <c r="G41" s="195"/>
    </row>
    <row r="42" spans="1:7" ht="18" customHeight="1">
      <c r="A42" s="199"/>
      <c r="B42" s="196"/>
      <c r="C42" s="198"/>
      <c r="D42" s="196"/>
      <c r="E42" s="197"/>
      <c r="F42" s="196"/>
      <c r="G42" s="195"/>
    </row>
    <row r="43" spans="1:7" ht="18" customHeight="1">
      <c r="A43" s="199"/>
      <c r="B43" s="196"/>
      <c r="C43" s="198"/>
      <c r="D43" s="196"/>
      <c r="E43" s="197"/>
      <c r="F43" s="196"/>
      <c r="G43" s="195"/>
    </row>
    <row r="44" spans="1:7" ht="18" customHeight="1">
      <c r="A44" s="199"/>
      <c r="B44" s="196"/>
      <c r="C44" s="198"/>
      <c r="D44" s="196"/>
      <c r="E44" s="197"/>
      <c r="F44" s="196"/>
      <c r="G44" s="195"/>
    </row>
    <row r="45" spans="1:7" ht="18" customHeight="1">
      <c r="A45" s="199"/>
      <c r="B45" s="196"/>
      <c r="C45" s="198"/>
      <c r="D45" s="196"/>
      <c r="E45" s="197"/>
      <c r="F45" s="196"/>
      <c r="G45" s="195"/>
    </row>
    <row r="46" spans="1:7" ht="18" customHeight="1">
      <c r="A46" s="199"/>
      <c r="B46" s="196"/>
      <c r="C46" s="198"/>
      <c r="D46" s="196"/>
      <c r="E46" s="197"/>
      <c r="F46" s="196"/>
      <c r="G46" s="195"/>
    </row>
    <row r="47" spans="1:7" ht="18" customHeight="1">
      <c r="A47" s="199"/>
      <c r="B47" s="196"/>
      <c r="C47" s="198"/>
      <c r="D47" s="196"/>
      <c r="E47" s="197"/>
      <c r="F47" s="196"/>
      <c r="G47" s="195"/>
    </row>
    <row r="48" spans="1:7" ht="18" customHeight="1">
      <c r="A48" s="199"/>
      <c r="B48" s="196"/>
      <c r="C48" s="198"/>
      <c r="D48" s="196"/>
      <c r="E48" s="197"/>
      <c r="F48" s="196"/>
      <c r="G48" s="195"/>
    </row>
    <row r="49" spans="1:7" ht="18" customHeight="1">
      <c r="A49" s="199"/>
      <c r="B49" s="196"/>
      <c r="C49" s="198"/>
      <c r="D49" s="196"/>
      <c r="E49" s="197"/>
      <c r="F49" s="196"/>
      <c r="G49" s="195"/>
    </row>
    <row r="50" spans="1:7" ht="18" customHeight="1">
      <c r="A50" s="199"/>
      <c r="B50" s="196"/>
      <c r="C50" s="198"/>
      <c r="D50" s="196"/>
      <c r="E50" s="197"/>
      <c r="F50" s="196"/>
      <c r="G50" s="195"/>
    </row>
    <row r="51" spans="1:7" ht="18" customHeight="1">
      <c r="A51" s="199"/>
      <c r="B51" s="196"/>
      <c r="C51" s="198"/>
      <c r="D51" s="196"/>
      <c r="E51" s="197"/>
      <c r="F51" s="196"/>
      <c r="G51" s="195"/>
    </row>
    <row r="52" spans="1:7" ht="18" customHeight="1">
      <c r="A52" s="199"/>
      <c r="B52" s="196"/>
      <c r="C52" s="198"/>
      <c r="D52" s="196"/>
      <c r="E52" s="197"/>
      <c r="F52" s="196"/>
      <c r="G52" s="195"/>
    </row>
    <row r="53" spans="1:7" ht="18" customHeight="1">
      <c r="A53" s="199"/>
      <c r="B53" s="196"/>
      <c r="C53" s="198"/>
      <c r="D53" s="196"/>
      <c r="E53" s="197"/>
      <c r="F53" s="196"/>
      <c r="G53" s="195"/>
    </row>
    <row r="54" spans="1:7" ht="18" customHeight="1">
      <c r="A54" s="199"/>
      <c r="B54" s="196"/>
      <c r="C54" s="198"/>
      <c r="D54" s="196"/>
      <c r="E54" s="197"/>
      <c r="F54" s="196"/>
      <c r="G54" s="195"/>
    </row>
    <row r="55" spans="1:7" ht="18" customHeight="1">
      <c r="A55" s="199"/>
      <c r="B55" s="196"/>
      <c r="C55" s="198"/>
      <c r="D55" s="196"/>
      <c r="E55" s="197"/>
      <c r="F55" s="196"/>
      <c r="G55" s="195"/>
    </row>
    <row r="56" spans="1:7" ht="18" customHeight="1">
      <c r="A56" s="199"/>
      <c r="B56" s="196"/>
      <c r="C56" s="198"/>
      <c r="D56" s="196"/>
      <c r="E56" s="197"/>
      <c r="F56" s="196"/>
      <c r="G56" s="195"/>
    </row>
    <row r="57" spans="1:7" ht="18" customHeight="1">
      <c r="A57" s="199"/>
      <c r="B57" s="196"/>
      <c r="C57" s="198"/>
      <c r="D57" s="196"/>
      <c r="E57" s="197"/>
      <c r="F57" s="196"/>
      <c r="G57" s="195"/>
    </row>
    <row r="58" spans="1:7" ht="18" customHeight="1">
      <c r="A58" s="199"/>
      <c r="B58" s="196"/>
      <c r="C58" s="198"/>
      <c r="D58" s="196"/>
      <c r="E58" s="197"/>
      <c r="F58" s="196"/>
      <c r="G58" s="195"/>
    </row>
    <row r="59" spans="1:7" ht="18" customHeight="1">
      <c r="A59" s="199"/>
      <c r="B59" s="196"/>
      <c r="C59" s="198"/>
      <c r="D59" s="196"/>
      <c r="E59" s="197"/>
      <c r="F59" s="196"/>
      <c r="G59" s="195"/>
    </row>
    <row r="60" spans="1:7" ht="18" customHeight="1">
      <c r="A60" s="199"/>
      <c r="B60" s="196"/>
      <c r="C60" s="198"/>
      <c r="D60" s="196"/>
      <c r="E60" s="197"/>
      <c r="F60" s="196"/>
      <c r="G60" s="195"/>
    </row>
    <row r="61" spans="1:7" ht="18" customHeight="1">
      <c r="A61" s="199"/>
      <c r="B61" s="196"/>
      <c r="C61" s="198"/>
      <c r="D61" s="196"/>
      <c r="E61" s="197"/>
      <c r="F61" s="196"/>
      <c r="G61" s="195"/>
    </row>
    <row r="62" spans="1:7" ht="18" customHeight="1">
      <c r="A62" s="199"/>
      <c r="B62" s="196"/>
      <c r="C62" s="198"/>
      <c r="D62" s="196"/>
      <c r="E62" s="197"/>
      <c r="F62" s="196"/>
      <c r="G62" s="195"/>
    </row>
    <row r="63" spans="1:7" ht="18" customHeight="1">
      <c r="A63" s="199"/>
      <c r="B63" s="196"/>
      <c r="C63" s="198"/>
      <c r="D63" s="196"/>
      <c r="E63" s="197"/>
      <c r="F63" s="196"/>
      <c r="G63" s="195"/>
    </row>
    <row r="64" spans="1:7" ht="18" customHeight="1">
      <c r="A64" s="199"/>
      <c r="B64" s="196"/>
      <c r="C64" s="198"/>
      <c r="D64" s="196"/>
      <c r="E64" s="197"/>
      <c r="F64" s="196"/>
      <c r="G64" s="195"/>
    </row>
    <row r="65" spans="1:7" ht="18" customHeight="1">
      <c r="A65" s="199"/>
      <c r="B65" s="196"/>
      <c r="C65" s="198"/>
      <c r="D65" s="196"/>
      <c r="E65" s="197"/>
      <c r="F65" s="196"/>
      <c r="G65" s="195"/>
    </row>
    <row r="66" spans="1:7" ht="18" customHeight="1">
      <c r="A66" s="199"/>
      <c r="B66" s="196"/>
      <c r="C66" s="198"/>
      <c r="D66" s="196"/>
      <c r="E66" s="197"/>
      <c r="F66" s="196"/>
      <c r="G66" s="195"/>
    </row>
    <row r="67" spans="1:7" ht="18" customHeight="1">
      <c r="A67" s="199"/>
      <c r="B67" s="196"/>
      <c r="C67" s="198"/>
      <c r="D67" s="196"/>
      <c r="E67" s="197"/>
      <c r="F67" s="196"/>
      <c r="G67" s="195"/>
    </row>
    <row r="68" spans="1:7" ht="18" customHeight="1">
      <c r="A68" s="199"/>
      <c r="B68" s="196"/>
      <c r="C68" s="198"/>
      <c r="D68" s="196"/>
      <c r="E68" s="197"/>
      <c r="F68" s="196"/>
      <c r="G68" s="195"/>
    </row>
    <row r="69" spans="1:7" ht="18" customHeight="1">
      <c r="A69" s="199"/>
      <c r="B69" s="196"/>
      <c r="C69" s="198"/>
      <c r="D69" s="196"/>
      <c r="E69" s="197"/>
      <c r="F69" s="196"/>
      <c r="G69" s="195"/>
    </row>
    <row r="70" spans="1:7" ht="18" customHeight="1">
      <c r="A70" s="199"/>
      <c r="B70" s="196"/>
      <c r="C70" s="198"/>
      <c r="D70" s="196"/>
      <c r="E70" s="197"/>
      <c r="F70" s="196"/>
      <c r="G70" s="195"/>
    </row>
    <row r="71" spans="1:7" ht="18" customHeight="1">
      <c r="A71" s="199"/>
      <c r="B71" s="196"/>
      <c r="C71" s="198"/>
      <c r="D71" s="196"/>
      <c r="E71" s="197"/>
      <c r="F71" s="196"/>
      <c r="G71" s="195"/>
    </row>
    <row r="72" spans="1:7" ht="18" customHeight="1">
      <c r="A72" s="199"/>
      <c r="B72" s="196"/>
      <c r="C72" s="198"/>
      <c r="D72" s="196"/>
      <c r="E72" s="197"/>
      <c r="F72" s="196"/>
      <c r="G72" s="195"/>
    </row>
    <row r="73" spans="1:7" ht="18" customHeight="1">
      <c r="A73" s="199"/>
      <c r="B73" s="196"/>
      <c r="C73" s="198"/>
      <c r="D73" s="196"/>
      <c r="E73" s="197"/>
      <c r="F73" s="196"/>
      <c r="G73" s="195"/>
    </row>
    <row r="74" spans="1:7" ht="18" customHeight="1">
      <c r="A74" s="199"/>
      <c r="B74" s="196"/>
      <c r="C74" s="198"/>
      <c r="D74" s="196"/>
      <c r="E74" s="197"/>
      <c r="F74" s="196"/>
      <c r="G74" s="195"/>
    </row>
    <row r="75" spans="1:7" ht="18" customHeight="1">
      <c r="A75" s="199"/>
      <c r="B75" s="196"/>
      <c r="C75" s="198"/>
      <c r="D75" s="196"/>
      <c r="E75" s="197"/>
      <c r="F75" s="196"/>
      <c r="G75" s="195"/>
    </row>
    <row r="76" spans="1:7" ht="18" hidden="1" customHeight="1">
      <c r="A76" s="199"/>
      <c r="B76" s="196"/>
      <c r="C76" s="198"/>
      <c r="D76" s="196"/>
      <c r="E76" s="197"/>
      <c r="F76" s="196"/>
      <c r="G76" s="195"/>
    </row>
    <row r="77" spans="1:7" ht="18" hidden="1" customHeight="1">
      <c r="A77" s="199"/>
      <c r="B77" s="196"/>
      <c r="C77" s="198"/>
      <c r="D77" s="196"/>
      <c r="E77" s="197"/>
      <c r="F77" s="196"/>
      <c r="G77" s="195"/>
    </row>
    <row r="78" spans="1:7" ht="18" hidden="1" customHeight="1"/>
    <row r="79" spans="1:7" ht="18" hidden="1" customHeight="1"/>
    <row r="80" spans="1:7" ht="18" hidden="1" customHeight="1"/>
    <row r="81" ht="18" hidden="1" customHeight="1"/>
    <row r="82" ht="18" hidden="1" customHeight="1"/>
    <row r="83" ht="18" hidden="1" customHeight="1"/>
    <row r="84" ht="18" hidden="1" customHeight="1"/>
    <row r="85" ht="18" hidden="1" customHeight="1"/>
    <row r="86" ht="18" hidden="1" customHeight="1"/>
    <row r="87" ht="18" hidden="1" customHeight="1"/>
    <row r="88" ht="18.75" hidden="1" customHeight="1"/>
    <row r="89" ht="18.75" hidden="1" customHeight="1"/>
    <row r="90" ht="23.25" hidden="1" customHeight="1"/>
  </sheetData>
  <sheetProtection algorithmName="SHA-512" hashValue="+io40MrU7lImy7lxGtqOPeoGRZ+siWFINM4cH32k7W+n8g6WLRzzMSM9QmHV1DUIcoR03t4gcG0F/Jzuie6FzQ==" saltValue="9P9tmUv22z3RZJ3ZmhbuYw==" spinCount="100000" sheet="1" selectLockedCells="1" selectUnlockedCells="1"/>
  <hyperlinks>
    <hyperlink ref="B20" r:id="rId1" xr:uid="{FE5A6B29-E778-4DBB-BB50-B518866B5E31}"/>
  </hyperlinks>
  <printOptions horizontalCentered="1"/>
  <pageMargins left="0.70866141732283472" right="0.70866141732283472" top="0.78740157480314965" bottom="0.78740157480314965" header="0.31496062992125984" footer="0.31496062992125984"/>
  <pageSetup paperSize="9" scale="41"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30EAF-9C29-4A12-912C-AC147BDFE041}">
  <sheetPr>
    <tabColor rgb="FF00B0F0"/>
    <pageSetUpPr fitToPage="1"/>
  </sheetPr>
  <dimension ref="A1:M90"/>
  <sheetViews>
    <sheetView showGridLines="0" showRowColHeaders="0" zoomScale="115" zoomScaleNormal="115" workbookViewId="0">
      <selection activeCell="F26" sqref="F26"/>
    </sheetView>
  </sheetViews>
  <sheetFormatPr baseColWidth="10" defaultColWidth="0" defaultRowHeight="12.75" customHeight="1" zeroHeight="1"/>
  <cols>
    <col min="1" max="1" width="4.5703125" style="194" customWidth="1"/>
    <col min="2" max="2" width="71.42578125" style="194" customWidth="1"/>
    <col min="3" max="3" width="8.7109375" style="194" customWidth="1"/>
    <col min="4" max="4" width="56" style="194" customWidth="1"/>
    <col min="5" max="5" width="8.7109375" style="194" customWidth="1"/>
    <col min="6" max="6" width="64.28515625" style="194" customWidth="1"/>
    <col min="7" max="7" width="4.5703125" style="194" customWidth="1"/>
    <col min="8" max="13" width="0" style="194" hidden="1" customWidth="1"/>
    <col min="14" max="16384" width="11.42578125" style="194" hidden="1"/>
  </cols>
  <sheetData>
    <row r="1" spans="1:7">
      <c r="A1" s="199" t="s">
        <v>330</v>
      </c>
      <c r="B1" s="199"/>
      <c r="C1" s="199"/>
      <c r="D1" s="199"/>
      <c r="E1" s="199"/>
      <c r="F1" s="199"/>
      <c r="G1" s="199"/>
    </row>
    <row r="2" spans="1:7">
      <c r="A2" s="199"/>
      <c r="B2" s="204"/>
      <c r="C2" s="204"/>
      <c r="D2" s="204"/>
      <c r="E2" s="204"/>
      <c r="F2" s="204"/>
      <c r="G2" s="195"/>
    </row>
    <row r="3" spans="1:7">
      <c r="A3" s="199"/>
      <c r="B3" s="204"/>
      <c r="G3" s="195"/>
    </row>
    <row r="4" spans="1:7">
      <c r="A4" s="199"/>
      <c r="B4" s="204"/>
      <c r="G4" s="195"/>
    </row>
    <row r="5" spans="1:7">
      <c r="A5" s="199"/>
      <c r="B5" s="204"/>
      <c r="G5" s="195"/>
    </row>
    <row r="6" spans="1:7">
      <c r="A6" s="199"/>
      <c r="B6" s="204"/>
      <c r="G6" s="195"/>
    </row>
    <row r="7" spans="1:7" ht="26.25">
      <c r="A7" s="199"/>
      <c r="B7" s="207" t="s">
        <v>331</v>
      </c>
      <c r="C7" s="203"/>
      <c r="D7" s="203"/>
      <c r="G7" s="195"/>
    </row>
    <row r="8" spans="1:7" ht="18">
      <c r="A8" s="199"/>
      <c r="B8" s="204"/>
      <c r="C8" s="203"/>
      <c r="D8" s="203"/>
      <c r="G8" s="195"/>
    </row>
    <row r="9" spans="1:7" ht="26.25">
      <c r="A9" s="199"/>
      <c r="B9" s="206" t="s">
        <v>332</v>
      </c>
      <c r="C9" s="203"/>
      <c r="D9" s="203"/>
      <c r="G9" s="195"/>
    </row>
    <row r="10" spans="1:7" ht="26.25">
      <c r="A10" s="199"/>
      <c r="B10" s="206" t="s">
        <v>333</v>
      </c>
      <c r="C10" s="203"/>
      <c r="D10" s="203"/>
      <c r="G10" s="195"/>
    </row>
    <row r="11" spans="1:7" ht="26.25">
      <c r="A11" s="199"/>
      <c r="B11" s="206" t="s">
        <v>334</v>
      </c>
      <c r="C11" s="203"/>
      <c r="D11" s="203"/>
      <c r="G11" s="195"/>
    </row>
    <row r="12" spans="1:7" ht="26.25">
      <c r="A12" s="199"/>
      <c r="B12" s="206"/>
      <c r="C12" s="203"/>
      <c r="D12" s="203"/>
      <c r="G12" s="195"/>
    </row>
    <row r="13" spans="1:7" ht="18">
      <c r="A13" s="199"/>
      <c r="B13" s="204"/>
      <c r="C13" s="203"/>
      <c r="D13" s="203"/>
      <c r="G13" s="195"/>
    </row>
    <row r="14" spans="1:7" ht="18">
      <c r="A14" s="199"/>
      <c r="B14" s="204"/>
      <c r="C14" s="203"/>
      <c r="D14" s="203"/>
      <c r="G14" s="195"/>
    </row>
    <row r="15" spans="1:7" ht="18">
      <c r="A15" s="199"/>
      <c r="B15" s="204"/>
      <c r="C15" s="203"/>
      <c r="D15" s="203"/>
      <c r="G15" s="195"/>
    </row>
    <row r="16" spans="1:7" ht="18">
      <c r="A16" s="199"/>
      <c r="B16" s="204"/>
      <c r="C16" s="203"/>
      <c r="D16" s="203"/>
      <c r="G16" s="195"/>
    </row>
    <row r="17" spans="1:7" ht="18">
      <c r="A17" s="199"/>
      <c r="B17" s="204"/>
      <c r="C17" s="203"/>
      <c r="D17" s="203"/>
      <c r="G17" s="195"/>
    </row>
    <row r="18" spans="1:7" ht="18">
      <c r="A18" s="199"/>
      <c r="B18" s="204"/>
      <c r="C18" s="203"/>
      <c r="D18" s="203"/>
      <c r="G18" s="195"/>
    </row>
    <row r="19" spans="1:7" ht="20.25">
      <c r="A19" s="199"/>
      <c r="B19" s="205"/>
      <c r="C19" s="203"/>
      <c r="D19" s="203"/>
      <c r="G19" s="195"/>
    </row>
    <row r="20" spans="1:7" ht="27" customHeight="1">
      <c r="A20" s="199"/>
      <c r="B20" s="205" t="s">
        <v>319</v>
      </c>
      <c r="C20" s="203"/>
      <c r="D20" s="203"/>
      <c r="G20" s="195"/>
    </row>
    <row r="21" spans="1:7" ht="18">
      <c r="A21" s="199"/>
      <c r="B21" s="204"/>
      <c r="C21" s="203"/>
      <c r="D21" s="203"/>
      <c r="G21" s="195"/>
    </row>
    <row r="22" spans="1:7" ht="18">
      <c r="A22" s="199"/>
      <c r="B22" s="204"/>
      <c r="C22" s="203"/>
      <c r="D22" s="203"/>
      <c r="G22" s="195"/>
    </row>
    <row r="23" spans="1:7">
      <c r="A23" s="199"/>
      <c r="B23" s="199"/>
      <c r="C23" s="199"/>
      <c r="D23" s="199"/>
      <c r="E23" s="199"/>
      <c r="F23" s="199"/>
      <c r="G23" s="199"/>
    </row>
    <row r="24" spans="1:7">
      <c r="A24" s="199"/>
      <c r="B24" s="199"/>
      <c r="C24" s="199"/>
      <c r="D24" s="199"/>
      <c r="E24" s="199"/>
      <c r="F24" s="199"/>
      <c r="G24" s="199"/>
    </row>
    <row r="25" spans="1:7" ht="33" customHeight="1">
      <c r="A25" s="199"/>
      <c r="B25" s="202"/>
      <c r="C25" s="199"/>
      <c r="D25" s="199"/>
      <c r="E25" s="201"/>
      <c r="F25" s="199"/>
      <c r="G25" s="199"/>
    </row>
    <row r="26" spans="1:7" ht="18" customHeight="1">
      <c r="A26" s="199"/>
      <c r="B26" s="196"/>
      <c r="C26" s="198"/>
      <c r="D26" s="196"/>
      <c r="E26" s="197"/>
      <c r="F26" s="196"/>
      <c r="G26" s="195"/>
    </row>
    <row r="27" spans="1:7" ht="18" customHeight="1">
      <c r="A27" s="199"/>
      <c r="B27" s="196"/>
      <c r="C27" s="198"/>
      <c r="D27" s="196"/>
      <c r="E27" s="197"/>
      <c r="F27" s="196"/>
      <c r="G27" s="195"/>
    </row>
    <row r="28" spans="1:7" ht="18" customHeight="1">
      <c r="A28" s="199"/>
      <c r="B28" s="200"/>
      <c r="C28" s="198"/>
      <c r="D28" s="196"/>
      <c r="E28" s="197"/>
      <c r="F28" s="196"/>
      <c r="G28" s="195"/>
    </row>
    <row r="29" spans="1:7" ht="18" customHeight="1">
      <c r="A29" s="199"/>
      <c r="B29" s="196"/>
      <c r="C29" s="198"/>
      <c r="D29" s="196"/>
      <c r="E29" s="197"/>
      <c r="F29" s="196"/>
      <c r="G29" s="195"/>
    </row>
    <row r="30" spans="1:7" ht="18" customHeight="1">
      <c r="A30" s="199"/>
      <c r="B30" s="196"/>
      <c r="C30" s="198"/>
      <c r="D30" s="196"/>
      <c r="E30" s="197"/>
      <c r="F30" s="196"/>
      <c r="G30" s="195"/>
    </row>
    <row r="31" spans="1:7" ht="18" customHeight="1">
      <c r="A31" s="199"/>
      <c r="B31" s="196"/>
      <c r="C31" s="198"/>
      <c r="D31" s="196"/>
      <c r="E31" s="197"/>
      <c r="F31" s="196"/>
      <c r="G31" s="195"/>
    </row>
    <row r="32" spans="1:7" ht="18" customHeight="1">
      <c r="A32" s="199"/>
      <c r="B32" s="196"/>
      <c r="C32" s="198"/>
      <c r="D32" s="196"/>
      <c r="E32" s="197"/>
      <c r="F32" s="196"/>
      <c r="G32" s="195"/>
    </row>
    <row r="33" spans="1:7" ht="18" customHeight="1">
      <c r="A33" s="199"/>
      <c r="B33" s="196"/>
      <c r="C33" s="198"/>
      <c r="D33" s="196"/>
      <c r="E33" s="197"/>
      <c r="F33" s="196"/>
      <c r="G33" s="195"/>
    </row>
    <row r="34" spans="1:7" ht="18" customHeight="1">
      <c r="A34" s="199"/>
      <c r="B34" s="196"/>
      <c r="C34" s="198"/>
      <c r="D34" s="196"/>
      <c r="E34" s="197"/>
      <c r="F34" s="196"/>
      <c r="G34" s="195"/>
    </row>
    <row r="35" spans="1:7" ht="18" customHeight="1">
      <c r="A35" s="199"/>
      <c r="B35" s="196"/>
      <c r="C35" s="198"/>
      <c r="D35" s="196"/>
      <c r="E35" s="197"/>
      <c r="F35" s="196"/>
      <c r="G35" s="195"/>
    </row>
    <row r="36" spans="1:7" ht="18" customHeight="1">
      <c r="A36" s="199"/>
      <c r="B36" s="196"/>
      <c r="C36" s="198"/>
      <c r="D36" s="196"/>
      <c r="E36" s="197"/>
      <c r="F36" s="196"/>
      <c r="G36" s="195"/>
    </row>
    <row r="37" spans="1:7" ht="18" customHeight="1">
      <c r="A37" s="199"/>
      <c r="B37" s="196"/>
      <c r="C37" s="198"/>
      <c r="D37" s="196"/>
      <c r="E37" s="197"/>
      <c r="F37" s="196"/>
      <c r="G37" s="195"/>
    </row>
    <row r="38" spans="1:7" ht="18" customHeight="1">
      <c r="A38" s="199"/>
      <c r="B38" s="196"/>
      <c r="C38" s="198"/>
      <c r="D38" s="196"/>
      <c r="E38" s="197"/>
      <c r="F38" s="196"/>
      <c r="G38" s="195"/>
    </row>
    <row r="39" spans="1:7" ht="18" customHeight="1">
      <c r="A39" s="199"/>
      <c r="B39" s="196"/>
      <c r="C39" s="198"/>
      <c r="D39" s="196"/>
      <c r="E39" s="197"/>
      <c r="F39" s="196"/>
      <c r="G39" s="195"/>
    </row>
    <row r="40" spans="1:7" ht="18" customHeight="1">
      <c r="A40" s="199"/>
      <c r="B40" s="196"/>
      <c r="C40" s="198"/>
      <c r="D40" s="196"/>
      <c r="E40" s="197"/>
      <c r="F40" s="196"/>
      <c r="G40" s="195"/>
    </row>
    <row r="41" spans="1:7" ht="18" customHeight="1">
      <c r="A41" s="199"/>
      <c r="B41" s="196"/>
      <c r="C41" s="198"/>
      <c r="D41" s="196"/>
      <c r="E41" s="197"/>
      <c r="F41" s="196"/>
      <c r="G41" s="195"/>
    </row>
    <row r="42" spans="1:7" ht="18" customHeight="1">
      <c r="A42" s="199"/>
      <c r="B42" s="196"/>
      <c r="C42" s="198"/>
      <c r="D42" s="196"/>
      <c r="E42" s="197"/>
      <c r="F42" s="196"/>
      <c r="G42" s="195"/>
    </row>
    <row r="43" spans="1:7" ht="18" customHeight="1">
      <c r="A43" s="199"/>
      <c r="B43" s="196"/>
      <c r="C43" s="198"/>
      <c r="D43" s="196"/>
      <c r="E43" s="197"/>
      <c r="F43" s="196"/>
      <c r="G43" s="195"/>
    </row>
    <row r="44" spans="1:7" ht="18" customHeight="1">
      <c r="A44" s="199"/>
      <c r="B44" s="196"/>
      <c r="C44" s="198"/>
      <c r="D44" s="196"/>
      <c r="E44" s="197"/>
      <c r="F44" s="196"/>
      <c r="G44" s="195"/>
    </row>
    <row r="45" spans="1:7" ht="18" customHeight="1">
      <c r="A45" s="199"/>
      <c r="B45" s="196"/>
      <c r="C45" s="198"/>
      <c r="D45" s="196"/>
      <c r="E45" s="197"/>
      <c r="F45" s="196"/>
      <c r="G45" s="195"/>
    </row>
    <row r="46" spans="1:7" ht="18" customHeight="1">
      <c r="A46" s="199"/>
      <c r="B46" s="196"/>
      <c r="C46" s="198"/>
      <c r="D46" s="196"/>
      <c r="E46" s="197"/>
      <c r="F46" s="196"/>
      <c r="G46" s="195"/>
    </row>
    <row r="47" spans="1:7" ht="18" customHeight="1">
      <c r="A47" s="199"/>
      <c r="B47" s="196"/>
      <c r="C47" s="198"/>
      <c r="D47" s="196"/>
      <c r="E47" s="197"/>
      <c r="F47" s="196"/>
      <c r="G47" s="195"/>
    </row>
    <row r="48" spans="1:7" ht="18" customHeight="1">
      <c r="A48" s="199"/>
      <c r="B48" s="196"/>
      <c r="C48" s="198"/>
      <c r="D48" s="196"/>
      <c r="E48" s="197"/>
      <c r="F48" s="196"/>
      <c r="G48" s="195"/>
    </row>
    <row r="49" spans="1:7" ht="18" customHeight="1">
      <c r="A49" s="199"/>
      <c r="B49" s="196"/>
      <c r="C49" s="198"/>
      <c r="D49" s="196"/>
      <c r="E49" s="197"/>
      <c r="F49" s="196"/>
      <c r="G49" s="195"/>
    </row>
    <row r="50" spans="1:7" ht="18" customHeight="1">
      <c r="A50" s="199"/>
      <c r="B50" s="196"/>
      <c r="C50" s="198"/>
      <c r="D50" s="196"/>
      <c r="E50" s="197"/>
      <c r="F50" s="196"/>
      <c r="G50" s="195"/>
    </row>
    <row r="51" spans="1:7" ht="18" customHeight="1">
      <c r="A51" s="199"/>
      <c r="B51" s="196"/>
      <c r="C51" s="198"/>
      <c r="D51" s="196"/>
      <c r="E51" s="197"/>
      <c r="F51" s="196"/>
      <c r="G51" s="195"/>
    </row>
    <row r="52" spans="1:7" ht="18" customHeight="1">
      <c r="A52" s="199"/>
      <c r="B52" s="196"/>
      <c r="C52" s="198"/>
      <c r="D52" s="196"/>
      <c r="E52" s="197"/>
      <c r="F52" s="196"/>
      <c r="G52" s="195"/>
    </row>
    <row r="53" spans="1:7" ht="18" customHeight="1">
      <c r="A53" s="199"/>
      <c r="B53" s="196"/>
      <c r="C53" s="198"/>
      <c r="D53" s="196"/>
      <c r="E53" s="197"/>
      <c r="F53" s="196"/>
      <c r="G53" s="195"/>
    </row>
    <row r="54" spans="1:7" ht="18" customHeight="1">
      <c r="A54" s="199"/>
      <c r="B54" s="196"/>
      <c r="C54" s="198"/>
      <c r="D54" s="196"/>
      <c r="E54" s="197"/>
      <c r="F54" s="196"/>
      <c r="G54" s="195"/>
    </row>
    <row r="55" spans="1:7" ht="18" customHeight="1">
      <c r="A55" s="199"/>
      <c r="B55" s="196"/>
      <c r="C55" s="198"/>
      <c r="D55" s="196"/>
      <c r="E55" s="197"/>
      <c r="F55" s="196"/>
      <c r="G55" s="195"/>
    </row>
    <row r="56" spans="1:7" ht="18" customHeight="1">
      <c r="A56" s="199"/>
      <c r="B56" s="196"/>
      <c r="C56" s="198"/>
      <c r="D56" s="196"/>
      <c r="E56" s="197"/>
      <c r="F56" s="196"/>
      <c r="G56" s="195"/>
    </row>
    <row r="57" spans="1:7" ht="18" customHeight="1">
      <c r="A57" s="199"/>
      <c r="B57" s="196"/>
      <c r="C57" s="198"/>
      <c r="D57" s="196"/>
      <c r="E57" s="197"/>
      <c r="F57" s="196"/>
      <c r="G57" s="195"/>
    </row>
    <row r="58" spans="1:7" ht="18" customHeight="1">
      <c r="A58" s="199"/>
      <c r="B58" s="196"/>
      <c r="C58" s="198"/>
      <c r="D58" s="196"/>
      <c r="E58" s="197"/>
      <c r="F58" s="196"/>
      <c r="G58" s="195"/>
    </row>
    <row r="59" spans="1:7" ht="18" customHeight="1">
      <c r="A59" s="199"/>
      <c r="B59" s="196"/>
      <c r="C59" s="198"/>
      <c r="D59" s="196"/>
      <c r="E59" s="197"/>
      <c r="F59" s="196"/>
      <c r="G59" s="195"/>
    </row>
    <row r="60" spans="1:7" ht="18" customHeight="1">
      <c r="A60" s="199"/>
      <c r="B60" s="196"/>
      <c r="C60" s="198"/>
      <c r="D60" s="196"/>
      <c r="E60" s="197"/>
      <c r="F60" s="196"/>
      <c r="G60" s="195"/>
    </row>
    <row r="61" spans="1:7" ht="18" customHeight="1">
      <c r="A61" s="199"/>
      <c r="B61" s="196"/>
      <c r="C61" s="198"/>
      <c r="D61" s="196"/>
      <c r="E61" s="197"/>
      <c r="F61" s="196"/>
      <c r="G61" s="195"/>
    </row>
    <row r="62" spans="1:7" ht="18" customHeight="1">
      <c r="A62" s="199"/>
      <c r="B62" s="196"/>
      <c r="C62" s="198"/>
      <c r="D62" s="196"/>
      <c r="E62" s="197"/>
      <c r="F62" s="196"/>
      <c r="G62" s="195"/>
    </row>
    <row r="63" spans="1:7" ht="18" customHeight="1">
      <c r="A63" s="199"/>
      <c r="B63" s="196"/>
      <c r="C63" s="198"/>
      <c r="D63" s="196"/>
      <c r="E63" s="197"/>
      <c r="F63" s="196"/>
      <c r="G63" s="195"/>
    </row>
    <row r="64" spans="1:7" ht="18" customHeight="1">
      <c r="A64" s="199"/>
      <c r="B64" s="196"/>
      <c r="C64" s="198"/>
      <c r="D64" s="196"/>
      <c r="E64" s="197"/>
      <c r="F64" s="196"/>
      <c r="G64" s="195"/>
    </row>
    <row r="65" spans="1:7" ht="18" customHeight="1">
      <c r="A65" s="199"/>
      <c r="B65" s="196"/>
      <c r="C65" s="198"/>
      <c r="D65" s="196"/>
      <c r="E65" s="197"/>
      <c r="F65" s="196"/>
      <c r="G65" s="195"/>
    </row>
    <row r="66" spans="1:7" ht="18" customHeight="1">
      <c r="A66" s="199"/>
      <c r="B66" s="196"/>
      <c r="C66" s="198"/>
      <c r="D66" s="196"/>
      <c r="E66" s="197"/>
      <c r="F66" s="196"/>
      <c r="G66" s="195"/>
    </row>
    <row r="67" spans="1:7" ht="18" customHeight="1">
      <c r="A67" s="199"/>
      <c r="B67" s="196"/>
      <c r="C67" s="198"/>
      <c r="D67" s="196"/>
      <c r="E67" s="197"/>
      <c r="F67" s="196"/>
      <c r="G67" s="195"/>
    </row>
    <row r="68" spans="1:7" ht="18" customHeight="1">
      <c r="A68" s="199"/>
      <c r="B68" s="196"/>
      <c r="C68" s="198"/>
      <c r="D68" s="196"/>
      <c r="E68" s="197"/>
      <c r="F68" s="196"/>
      <c r="G68" s="195"/>
    </row>
    <row r="69" spans="1:7" ht="18" customHeight="1">
      <c r="A69" s="199"/>
      <c r="B69" s="196"/>
      <c r="C69" s="198"/>
      <c r="D69" s="196"/>
      <c r="E69" s="197"/>
      <c r="F69" s="196"/>
      <c r="G69" s="195"/>
    </row>
    <row r="70" spans="1:7" ht="18" customHeight="1">
      <c r="A70" s="199"/>
      <c r="B70" s="196"/>
      <c r="C70" s="198"/>
      <c r="D70" s="196"/>
      <c r="E70" s="197"/>
      <c r="F70" s="196"/>
      <c r="G70" s="195"/>
    </row>
    <row r="71" spans="1:7" ht="18" customHeight="1">
      <c r="A71" s="199"/>
      <c r="B71" s="196"/>
      <c r="C71" s="198"/>
      <c r="D71" s="196"/>
      <c r="E71" s="197"/>
      <c r="F71" s="196"/>
      <c r="G71" s="195"/>
    </row>
    <row r="72" spans="1:7" ht="18" customHeight="1">
      <c r="A72" s="199"/>
      <c r="B72" s="196"/>
      <c r="C72" s="198"/>
      <c r="D72" s="196"/>
      <c r="E72" s="197"/>
      <c r="F72" s="196"/>
      <c r="G72" s="195"/>
    </row>
    <row r="73" spans="1:7" ht="18" customHeight="1">
      <c r="A73" s="199"/>
      <c r="B73" s="196"/>
      <c r="C73" s="198"/>
      <c r="D73" s="196"/>
      <c r="E73" s="197"/>
      <c r="F73" s="196"/>
      <c r="G73" s="195"/>
    </row>
    <row r="74" spans="1:7" ht="18" customHeight="1">
      <c r="A74" s="199"/>
      <c r="B74" s="196"/>
      <c r="C74" s="198"/>
      <c r="D74" s="196"/>
      <c r="E74" s="197"/>
      <c r="F74" s="196"/>
      <c r="G74" s="195"/>
    </row>
    <row r="75" spans="1:7" ht="18" customHeight="1">
      <c r="A75" s="199"/>
      <c r="B75" s="196"/>
      <c r="C75" s="198"/>
      <c r="D75" s="196"/>
      <c r="E75" s="197"/>
      <c r="F75" s="196"/>
      <c r="G75" s="195"/>
    </row>
    <row r="76" spans="1:7" ht="18" hidden="1" customHeight="1">
      <c r="A76" s="199"/>
      <c r="B76" s="196"/>
      <c r="C76" s="198"/>
      <c r="D76" s="196"/>
      <c r="E76" s="197"/>
      <c r="F76" s="196"/>
      <c r="G76" s="195"/>
    </row>
    <row r="77" spans="1:7" ht="18" hidden="1" customHeight="1">
      <c r="A77" s="199"/>
      <c r="B77" s="196"/>
      <c r="C77" s="198"/>
      <c r="D77" s="196"/>
      <c r="E77" s="197"/>
      <c r="F77" s="196"/>
      <c r="G77" s="195"/>
    </row>
    <row r="78" spans="1:7" ht="18" hidden="1" customHeight="1"/>
    <row r="79" spans="1:7" ht="18" hidden="1" customHeight="1"/>
    <row r="80" spans="1:7" ht="18" hidden="1" customHeight="1"/>
    <row r="81" ht="18" hidden="1" customHeight="1"/>
    <row r="82" ht="18" hidden="1" customHeight="1"/>
    <row r="83" ht="18" hidden="1" customHeight="1"/>
    <row r="84" ht="18" hidden="1" customHeight="1"/>
    <row r="85" ht="18" hidden="1" customHeight="1"/>
    <row r="86" ht="18" hidden="1" customHeight="1"/>
    <row r="87" ht="18" hidden="1" customHeight="1"/>
    <row r="88" ht="18.75" hidden="1" customHeight="1"/>
    <row r="89" ht="18.75" hidden="1" customHeight="1"/>
    <row r="90" ht="23.25" hidden="1" customHeight="1"/>
  </sheetData>
  <sheetProtection algorithmName="SHA-512" hashValue="N4aPqOyuthmWb7pWIP+qfcBZF9HoWS647ZgaB4diqjv5KB7PoKirevd6/x38rc69g27tOEm5H8blCdpGv743vQ==" saltValue="rQNDSgj03sMv/xLAaiIPGw==" spinCount="100000" sheet="1" selectLockedCells="1" selectUnlockedCells="1"/>
  <hyperlinks>
    <hyperlink ref="B20" r:id="rId1" xr:uid="{03190B5B-CA82-4A05-AB56-DC0E20F07714}"/>
  </hyperlinks>
  <printOptions horizontalCentered="1"/>
  <pageMargins left="0.70866141732283472" right="0.70866141732283472" top="0.78740157480314965" bottom="0.78740157480314965" header="0.31496062992125984" footer="0.31496062992125984"/>
  <pageSetup paperSize="9" scale="41"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MLS_Fimovi_Formate">
    <tabColor theme="1"/>
    <pageSetUpPr fitToPage="1"/>
  </sheetPr>
  <dimension ref="A1:M238"/>
  <sheetViews>
    <sheetView showGridLines="0" zoomScaleNormal="100" workbookViewId="0"/>
  </sheetViews>
  <sheetFormatPr baseColWidth="10" defaultColWidth="0" defaultRowHeight="12.75"/>
  <cols>
    <col min="1" max="1" width="2.85546875" customWidth="1"/>
    <col min="2" max="2" width="37.28515625" customWidth="1"/>
    <col min="3" max="3" width="11.42578125" customWidth="1"/>
    <col min="4" max="4" width="25" customWidth="1"/>
    <col min="5" max="5" width="15.85546875" customWidth="1"/>
    <col min="6" max="6" width="12.7109375" customWidth="1"/>
    <col min="7" max="9" width="11.42578125" customWidth="1"/>
    <col min="10" max="10" width="31.5703125" customWidth="1"/>
    <col min="11" max="11" width="11.42578125" customWidth="1"/>
    <col min="12" max="12" width="13.28515625" customWidth="1"/>
    <col min="13" max="13" width="11.42578125" customWidth="1"/>
    <col min="14" max="16384" width="11.42578125" hidden="1"/>
  </cols>
  <sheetData>
    <row r="1" spans="1:12" ht="20.25">
      <c r="A1" s="40"/>
      <c r="B1" s="40" t="s">
        <v>116</v>
      </c>
      <c r="C1" s="40"/>
      <c r="D1" s="40"/>
      <c r="E1" s="40"/>
      <c r="F1" s="40"/>
      <c r="G1" s="40"/>
      <c r="H1" s="40"/>
      <c r="I1" s="40"/>
      <c r="J1" s="40"/>
      <c r="K1" s="40"/>
      <c r="L1" s="40"/>
    </row>
    <row r="3" spans="1:12" ht="24" thickBot="1">
      <c r="A3" s="38"/>
      <c r="B3" s="38" t="s">
        <v>4</v>
      </c>
      <c r="C3" s="2"/>
      <c r="D3" s="38"/>
      <c r="E3" s="38"/>
      <c r="F3" s="101" t="s">
        <v>115</v>
      </c>
      <c r="G3" s="38"/>
      <c r="H3" s="2"/>
      <c r="I3" s="2"/>
      <c r="J3" s="2"/>
      <c r="K3" s="2"/>
      <c r="L3" s="2"/>
    </row>
    <row r="4" spans="1:12">
      <c r="B4" t="s">
        <v>58</v>
      </c>
      <c r="D4" s="12" t="s">
        <v>59</v>
      </c>
    </row>
    <row r="5" spans="1:12">
      <c r="F5" t="s">
        <v>132</v>
      </c>
    </row>
    <row r="6" spans="1:12">
      <c r="B6" t="s">
        <v>7</v>
      </c>
      <c r="D6" s="69">
        <v>100</v>
      </c>
      <c r="F6" s="71">
        <v>20</v>
      </c>
      <c r="G6" t="s">
        <v>133</v>
      </c>
      <c r="J6" t="s">
        <v>144</v>
      </c>
    </row>
    <row r="7" spans="1:12">
      <c r="B7" t="s">
        <v>30</v>
      </c>
      <c r="D7" s="16">
        <v>100</v>
      </c>
      <c r="F7" s="71">
        <v>-20</v>
      </c>
      <c r="G7" t="s">
        <v>134</v>
      </c>
      <c r="J7" t="s">
        <v>145</v>
      </c>
    </row>
    <row r="8" spans="1:12">
      <c r="B8" t="s">
        <v>29</v>
      </c>
      <c r="D8" s="18">
        <v>100</v>
      </c>
    </row>
    <row r="9" spans="1:12">
      <c r="B9" t="s">
        <v>8</v>
      </c>
      <c r="D9" s="19" t="s">
        <v>67</v>
      </c>
    </row>
    <row r="10" spans="1:12">
      <c r="B10" t="s">
        <v>9</v>
      </c>
      <c r="D10" s="20">
        <v>100</v>
      </c>
    </row>
    <row r="11" spans="1:12">
      <c r="B11" t="s">
        <v>10</v>
      </c>
      <c r="D11" s="21"/>
    </row>
    <row r="12" spans="1:12">
      <c r="B12" t="s">
        <v>117</v>
      </c>
      <c r="D12" s="56">
        <v>100</v>
      </c>
    </row>
    <row r="13" spans="1:12">
      <c r="B13" t="s">
        <v>118</v>
      </c>
      <c r="D13" s="22">
        <v>1</v>
      </c>
    </row>
    <row r="14" spans="1:12">
      <c r="D14" s="29">
        <v>1</v>
      </c>
      <c r="E14" t="s">
        <v>60</v>
      </c>
    </row>
    <row r="15" spans="1:12">
      <c r="D15" s="30">
        <v>1</v>
      </c>
      <c r="E15" t="s">
        <v>60</v>
      </c>
    </row>
    <row r="16" spans="1:12">
      <c r="D16" s="30">
        <v>1</v>
      </c>
      <c r="E16" t="s">
        <v>60</v>
      </c>
    </row>
    <row r="17" spans="1:12">
      <c r="D17" s="22">
        <v>1</v>
      </c>
      <c r="E17" t="s">
        <v>60</v>
      </c>
    </row>
    <row r="19" spans="1:12" ht="24" thickBot="1">
      <c r="A19" s="38"/>
      <c r="B19" s="38" t="s">
        <v>119</v>
      </c>
      <c r="C19" s="2"/>
      <c r="D19" s="38"/>
      <c r="E19" s="38"/>
      <c r="F19" s="38"/>
      <c r="G19" s="38"/>
      <c r="H19" s="2"/>
      <c r="I19" s="2"/>
      <c r="J19" s="2"/>
      <c r="K19" s="2"/>
      <c r="L19" s="2"/>
    </row>
    <row r="20" spans="1:12">
      <c r="B20" t="s">
        <v>75</v>
      </c>
      <c r="D20" s="35" t="s">
        <v>52</v>
      </c>
    </row>
    <row r="21" spans="1:12">
      <c r="D21" s="34"/>
      <c r="E21" s="34"/>
      <c r="F21" s="34"/>
    </row>
    <row r="22" spans="1:12">
      <c r="B22" t="s">
        <v>78</v>
      </c>
      <c r="D22" s="45">
        <v>0</v>
      </c>
      <c r="E22" t="s">
        <v>60</v>
      </c>
    </row>
    <row r="23" spans="1:12">
      <c r="B23" t="s">
        <v>79</v>
      </c>
      <c r="D23" s="31">
        <v>1</v>
      </c>
      <c r="E23" t="s">
        <v>60</v>
      </c>
    </row>
    <row r="25" spans="1:12">
      <c r="B25" t="s">
        <v>130</v>
      </c>
      <c r="D25" s="59">
        <v>0</v>
      </c>
      <c r="E25" t="s">
        <v>60</v>
      </c>
    </row>
    <row r="26" spans="1:12">
      <c r="B26" t="s">
        <v>131</v>
      </c>
      <c r="D26" s="60">
        <v>1</v>
      </c>
      <c r="E26" t="s">
        <v>60</v>
      </c>
    </row>
    <row r="28" spans="1:12">
      <c r="B28" t="s">
        <v>76</v>
      </c>
      <c r="D28" s="79">
        <v>1</v>
      </c>
      <c r="E28" t="s">
        <v>60</v>
      </c>
    </row>
    <row r="29" spans="1:12">
      <c r="B29" t="s">
        <v>77</v>
      </c>
      <c r="D29" s="80">
        <v>1</v>
      </c>
      <c r="E29" t="s">
        <v>60</v>
      </c>
    </row>
    <row r="31" spans="1:12">
      <c r="D31" s="12" t="s">
        <v>108</v>
      </c>
    </row>
    <row r="32" spans="1:12">
      <c r="B32" t="s">
        <v>109</v>
      </c>
      <c r="C32" s="51"/>
      <c r="D32" s="78">
        <v>1</v>
      </c>
      <c r="E32" s="51" t="s">
        <v>106</v>
      </c>
      <c r="F32" t="s">
        <v>107</v>
      </c>
    </row>
    <row r="33" spans="2:8">
      <c r="B33" t="s">
        <v>110</v>
      </c>
      <c r="D33" s="76">
        <v>1</v>
      </c>
      <c r="E33" s="51" t="s">
        <v>105</v>
      </c>
      <c r="F33" t="s">
        <v>107</v>
      </c>
    </row>
    <row r="35" spans="2:8">
      <c r="B35" t="s">
        <v>111</v>
      </c>
      <c r="D35" s="52">
        <v>1</v>
      </c>
      <c r="E35" t="s">
        <v>60</v>
      </c>
    </row>
    <row r="37" spans="2:8">
      <c r="B37" t="s">
        <v>49</v>
      </c>
      <c r="D37" s="23" t="s">
        <v>62</v>
      </c>
    </row>
    <row r="38" spans="2:8">
      <c r="B38" t="s">
        <v>50</v>
      </c>
      <c r="D38" s="43" t="s">
        <v>61</v>
      </c>
    </row>
    <row r="39" spans="2:8">
      <c r="B39" t="s">
        <v>51</v>
      </c>
      <c r="D39" s="44" t="s">
        <v>63</v>
      </c>
    </row>
    <row r="40" spans="2:8">
      <c r="B40" t="s">
        <v>84</v>
      </c>
      <c r="D40" s="36" t="s">
        <v>85</v>
      </c>
    </row>
    <row r="42" spans="2:8">
      <c r="B42" t="s">
        <v>81</v>
      </c>
      <c r="D42" s="17">
        <v>1</v>
      </c>
    </row>
    <row r="43" spans="2:8">
      <c r="B43" t="s">
        <v>86</v>
      </c>
      <c r="D43" s="57">
        <v>43831</v>
      </c>
      <c r="F43" t="s">
        <v>114</v>
      </c>
    </row>
    <row r="44" spans="2:8">
      <c r="D44" s="17"/>
    </row>
    <row r="45" spans="2:8">
      <c r="D45" s="58" t="s">
        <v>120</v>
      </c>
      <c r="E45" s="12" t="s">
        <v>121</v>
      </c>
      <c r="F45" s="12" t="s">
        <v>122</v>
      </c>
    </row>
    <row r="46" spans="2:8">
      <c r="B46" t="s">
        <v>113</v>
      </c>
      <c r="D46" s="53">
        <v>1500</v>
      </c>
      <c r="E46" s="53">
        <v>0</v>
      </c>
      <c r="F46" s="53">
        <v>-1500</v>
      </c>
      <c r="H46" t="s">
        <v>114</v>
      </c>
    </row>
    <row r="47" spans="2:8">
      <c r="B47" t="s">
        <v>112</v>
      </c>
      <c r="D47" s="55">
        <v>0.25</v>
      </c>
      <c r="E47" s="55">
        <v>0</v>
      </c>
      <c r="F47" s="55">
        <v>-0.25</v>
      </c>
      <c r="H47" t="s">
        <v>114</v>
      </c>
    </row>
    <row r="48" spans="2:8">
      <c r="D48" s="5"/>
    </row>
    <row r="49" spans="1:12" ht="24" thickBot="1">
      <c r="A49" s="38"/>
      <c r="B49" s="38" t="s">
        <v>3</v>
      </c>
      <c r="C49" s="2"/>
      <c r="D49" s="38"/>
      <c r="E49" s="38"/>
      <c r="F49" s="38"/>
      <c r="G49" s="38"/>
      <c r="H49" s="2"/>
      <c r="I49" s="2"/>
      <c r="J49" s="2"/>
      <c r="K49" s="2"/>
      <c r="L49" s="2"/>
    </row>
    <row r="50" spans="1:12" ht="20.25">
      <c r="B50" s="3" t="s">
        <v>28</v>
      </c>
      <c r="H50" s="3" t="s">
        <v>54</v>
      </c>
    </row>
    <row r="51" spans="1:12" ht="20.25">
      <c r="B51" s="3"/>
      <c r="H51" s="3"/>
    </row>
    <row r="52" spans="1:12" ht="20.25">
      <c r="B52" t="s">
        <v>5</v>
      </c>
      <c r="D52" s="9" t="s">
        <v>6</v>
      </c>
      <c r="H52" t="s">
        <v>68</v>
      </c>
      <c r="J52" s="40" t="s">
        <v>64</v>
      </c>
    </row>
    <row r="53" spans="1:12" ht="18">
      <c r="B53" s="4"/>
      <c r="H53" t="s">
        <v>69</v>
      </c>
      <c r="J53" s="41" t="s">
        <v>65</v>
      </c>
    </row>
    <row r="54" spans="1:12" ht="15">
      <c r="B54" t="s">
        <v>80</v>
      </c>
      <c r="D54" s="8">
        <v>100</v>
      </c>
      <c r="H54" t="s">
        <v>70</v>
      </c>
      <c r="J54" s="42" t="s">
        <v>66</v>
      </c>
    </row>
    <row r="56" spans="1:12">
      <c r="B56" t="s">
        <v>27</v>
      </c>
      <c r="D56" s="11">
        <v>100</v>
      </c>
    </row>
    <row r="58" spans="1:12" ht="20.25">
      <c r="B58" t="s">
        <v>26</v>
      </c>
      <c r="D58" s="13">
        <v>100</v>
      </c>
      <c r="H58" s="3" t="s">
        <v>88</v>
      </c>
    </row>
    <row r="60" spans="1:12" ht="24" thickBot="1">
      <c r="B60" t="s">
        <v>25</v>
      </c>
      <c r="D60" s="14">
        <v>100</v>
      </c>
      <c r="H60" t="s">
        <v>53</v>
      </c>
      <c r="J60" s="2" t="s">
        <v>71</v>
      </c>
    </row>
    <row r="62" spans="1:12" ht="21" thickBot="1">
      <c r="B62" t="s">
        <v>24</v>
      </c>
      <c r="D62" s="15">
        <v>100</v>
      </c>
      <c r="H62" t="s">
        <v>55</v>
      </c>
      <c r="J62" s="3" t="s">
        <v>72</v>
      </c>
    </row>
    <row r="63" spans="1:12" ht="15.75" thickTop="1">
      <c r="H63" t="s">
        <v>56</v>
      </c>
      <c r="J63" s="4" t="s">
        <v>73</v>
      </c>
    </row>
    <row r="64" spans="1:12" ht="14.25">
      <c r="H64" t="s">
        <v>57</v>
      </c>
      <c r="J64" s="10" t="s">
        <v>74</v>
      </c>
    </row>
    <row r="66" spans="1:12" ht="24" thickBot="1">
      <c r="A66" s="38"/>
      <c r="B66" s="38" t="s">
        <v>123</v>
      </c>
      <c r="C66" s="2"/>
      <c r="D66" s="38"/>
      <c r="E66" s="38"/>
      <c r="F66" s="38"/>
      <c r="G66" s="38"/>
      <c r="H66" s="38"/>
      <c r="I66" s="38"/>
      <c r="J66" s="38"/>
      <c r="K66" s="38"/>
      <c r="L66" s="38"/>
    </row>
    <row r="67" spans="1:12" ht="20.25">
      <c r="B67" s="3" t="s">
        <v>17</v>
      </c>
      <c r="E67" s="4" t="s">
        <v>2</v>
      </c>
      <c r="H67" s="3" t="s">
        <v>124</v>
      </c>
      <c r="L67" s="4"/>
    </row>
    <row r="68" spans="1:12" ht="17.25" customHeight="1">
      <c r="B68" t="s">
        <v>18</v>
      </c>
      <c r="D68" s="7">
        <v>365</v>
      </c>
      <c r="E68" t="s">
        <v>31</v>
      </c>
      <c r="J68" s="12" t="s">
        <v>90</v>
      </c>
      <c r="K68" s="12" t="s">
        <v>103</v>
      </c>
      <c r="L68" s="4" t="s">
        <v>2</v>
      </c>
    </row>
    <row r="69" spans="1:12" ht="17.25" customHeight="1">
      <c r="B69" t="s">
        <v>32</v>
      </c>
      <c r="D69" s="7">
        <v>12</v>
      </c>
      <c r="E69" t="s">
        <v>33</v>
      </c>
      <c r="J69" s="68" t="s">
        <v>91</v>
      </c>
      <c r="K69" s="72">
        <v>1</v>
      </c>
      <c r="L69" t="s">
        <v>90</v>
      </c>
    </row>
    <row r="70" spans="1:12" ht="17.25" customHeight="1">
      <c r="B70" t="s">
        <v>20</v>
      </c>
      <c r="D70" s="7">
        <v>4</v>
      </c>
      <c r="E70" t="s">
        <v>34</v>
      </c>
      <c r="J70" s="68" t="s">
        <v>92</v>
      </c>
      <c r="K70" s="72">
        <v>2</v>
      </c>
    </row>
    <row r="71" spans="1:12" ht="17.25" customHeight="1">
      <c r="B71" t="s">
        <v>19</v>
      </c>
      <c r="D71" s="7">
        <v>3</v>
      </c>
      <c r="E71" t="s">
        <v>35</v>
      </c>
      <c r="J71" s="68" t="s">
        <v>93</v>
      </c>
      <c r="K71" s="72">
        <v>3</v>
      </c>
    </row>
    <row r="72" spans="1:12" ht="17.25" customHeight="1">
      <c r="D72" s="5"/>
      <c r="J72" s="68" t="s">
        <v>94</v>
      </c>
      <c r="K72" s="72">
        <v>4</v>
      </c>
    </row>
    <row r="73" spans="1:12" ht="17.25" customHeight="1">
      <c r="B73" t="s">
        <v>21</v>
      </c>
      <c r="D73" s="6">
        <v>1.0000000000000001E-5</v>
      </c>
      <c r="E73" t="s">
        <v>83</v>
      </c>
      <c r="J73" s="68" t="s">
        <v>95</v>
      </c>
      <c r="K73" s="72">
        <v>5</v>
      </c>
    </row>
    <row r="74" spans="1:12" ht="17.25" customHeight="1">
      <c r="B74" t="s">
        <v>22</v>
      </c>
      <c r="D74" s="7">
        <v>1000</v>
      </c>
      <c r="E74" t="s">
        <v>22</v>
      </c>
      <c r="J74" s="68" t="s">
        <v>96</v>
      </c>
      <c r="K74" s="72">
        <v>6</v>
      </c>
    </row>
    <row r="75" spans="1:12" ht="17.25" customHeight="1">
      <c r="B75" t="s">
        <v>0</v>
      </c>
      <c r="D75" s="7">
        <v>1000000</v>
      </c>
      <c r="E75" t="s">
        <v>0</v>
      </c>
      <c r="J75" s="68" t="s">
        <v>97</v>
      </c>
      <c r="K75" s="72">
        <v>7</v>
      </c>
    </row>
    <row r="76" spans="1:12" ht="17.25" customHeight="1">
      <c r="B76" t="s">
        <v>36</v>
      </c>
      <c r="D76" s="7">
        <v>1000000000</v>
      </c>
      <c r="E76" t="s">
        <v>36</v>
      </c>
      <c r="J76" s="68" t="s">
        <v>98</v>
      </c>
      <c r="K76" s="72">
        <v>8</v>
      </c>
    </row>
    <row r="77" spans="1:12" ht="17.25" customHeight="1">
      <c r="B77" t="s">
        <v>87</v>
      </c>
      <c r="D77" s="6">
        <v>9.9999999999999995E-8</v>
      </c>
      <c r="E77" t="s">
        <v>23</v>
      </c>
      <c r="J77" s="68" t="s">
        <v>99</v>
      </c>
      <c r="K77" s="72">
        <v>9</v>
      </c>
    </row>
    <row r="78" spans="1:12" ht="17.25" customHeight="1">
      <c r="J78" s="68" t="s">
        <v>100</v>
      </c>
      <c r="K78" s="72">
        <v>10</v>
      </c>
    </row>
    <row r="79" spans="1:12" ht="17.25" customHeight="1">
      <c r="J79" s="68" t="s">
        <v>101</v>
      </c>
      <c r="K79" s="72">
        <v>11</v>
      </c>
    </row>
    <row r="80" spans="1:12" ht="17.25" customHeight="1">
      <c r="J80" s="68" t="s">
        <v>102</v>
      </c>
      <c r="K80" s="72">
        <v>12</v>
      </c>
    </row>
    <row r="81" spans="2:12" ht="21" customHeight="1">
      <c r="B81" s="3" t="s">
        <v>11</v>
      </c>
      <c r="D81" s="5"/>
    </row>
    <row r="82" spans="2:12" ht="17.25" customHeight="1">
      <c r="B82" t="s">
        <v>37</v>
      </c>
      <c r="C82" s="24"/>
      <c r="D82" s="26" t="s">
        <v>1</v>
      </c>
      <c r="E82" t="s">
        <v>47</v>
      </c>
      <c r="J82" s="12" t="s">
        <v>89</v>
      </c>
      <c r="K82" s="12" t="s">
        <v>103</v>
      </c>
      <c r="L82" s="4" t="s">
        <v>2</v>
      </c>
    </row>
    <row r="83" spans="2:12" ht="17.25" customHeight="1">
      <c r="B83" t="s">
        <v>38</v>
      </c>
      <c r="C83" s="24"/>
      <c r="D83" s="26" t="s">
        <v>12</v>
      </c>
      <c r="E83" t="s">
        <v>48</v>
      </c>
      <c r="J83" s="68" t="s">
        <v>137</v>
      </c>
      <c r="K83" s="72">
        <v>1</v>
      </c>
      <c r="L83" t="s">
        <v>89</v>
      </c>
    </row>
    <row r="84" spans="2:12" ht="17.25" customHeight="1">
      <c r="B84" t="s">
        <v>39</v>
      </c>
      <c r="C84" s="25"/>
      <c r="D84" s="27" t="s">
        <v>13</v>
      </c>
      <c r="E84" t="s">
        <v>43</v>
      </c>
      <c r="J84" s="68" t="s">
        <v>138</v>
      </c>
      <c r="K84" s="72">
        <v>3</v>
      </c>
    </row>
    <row r="85" spans="2:12" ht="17.25" customHeight="1">
      <c r="B85" t="s">
        <v>40</v>
      </c>
      <c r="C85" s="25"/>
      <c r="D85" s="27" t="s">
        <v>16</v>
      </c>
      <c r="E85" t="s">
        <v>44</v>
      </c>
      <c r="J85" s="68" t="s">
        <v>139</v>
      </c>
      <c r="K85" s="72">
        <v>6</v>
      </c>
    </row>
    <row r="86" spans="2:12" ht="17.25" customHeight="1">
      <c r="B86" t="s">
        <v>41</v>
      </c>
      <c r="C86" s="25"/>
      <c r="D86" s="28" t="s">
        <v>15</v>
      </c>
      <c r="E86" t="s">
        <v>45</v>
      </c>
      <c r="J86" s="68" t="s">
        <v>140</v>
      </c>
      <c r="K86" s="72">
        <v>12</v>
      </c>
    </row>
    <row r="87" spans="2:12" ht="17.25" customHeight="1">
      <c r="B87" t="s">
        <v>42</v>
      </c>
      <c r="C87" s="25"/>
      <c r="D87" s="28" t="s">
        <v>14</v>
      </c>
      <c r="E87" t="s">
        <v>46</v>
      </c>
    </row>
    <row r="88" spans="2:12" ht="17.25" customHeight="1">
      <c r="C88" s="25"/>
      <c r="J88" s="12" t="s">
        <v>152</v>
      </c>
      <c r="K88" s="12" t="s">
        <v>103</v>
      </c>
      <c r="L88" s="4" t="s">
        <v>2</v>
      </c>
    </row>
    <row r="89" spans="2:12" ht="17.25" customHeight="1">
      <c r="D89" s="33">
        <v>1</v>
      </c>
      <c r="J89" s="68" t="s">
        <v>155</v>
      </c>
      <c r="K89" s="83">
        <v>0</v>
      </c>
      <c r="L89" t="s">
        <v>153</v>
      </c>
    </row>
    <row r="90" spans="2:12" ht="17.25" customHeight="1">
      <c r="B90" t="s">
        <v>125</v>
      </c>
      <c r="D90" s="32" t="str">
        <f>IF(D89=1,Pf_unt_ja,Pf_unt_nein)</f>
        <v>▼</v>
      </c>
      <c r="E90" t="s">
        <v>82</v>
      </c>
      <c r="J90" s="68" t="s">
        <v>156</v>
      </c>
      <c r="K90" s="83">
        <v>1</v>
      </c>
    </row>
    <row r="91" spans="2:12" ht="17.25" customHeight="1">
      <c r="B91" t="s">
        <v>126</v>
      </c>
    </row>
    <row r="92" spans="2:12" ht="17.25" customHeight="1"/>
    <row r="93" spans="2:12" ht="21" customHeight="1">
      <c r="B93" s="3" t="s">
        <v>128</v>
      </c>
      <c r="E93" s="4" t="s">
        <v>2</v>
      </c>
      <c r="J93" s="12" t="s">
        <v>166</v>
      </c>
      <c r="K93" s="4" t="s">
        <v>2</v>
      </c>
    </row>
    <row r="94" spans="2:12" ht="17.25" customHeight="1">
      <c r="D94" s="73" t="s">
        <v>157</v>
      </c>
      <c r="E94" t="s">
        <v>129</v>
      </c>
      <c r="J94" s="68" t="s">
        <v>167</v>
      </c>
      <c r="K94" t="s">
        <v>170</v>
      </c>
    </row>
    <row r="95" spans="2:12" ht="17.25" customHeight="1">
      <c r="D95" s="73" t="s">
        <v>158</v>
      </c>
      <c r="J95" s="68" t="s">
        <v>168</v>
      </c>
    </row>
    <row r="96" spans="2:12" ht="17.25" customHeight="1">
      <c r="D96" s="73" t="s">
        <v>142</v>
      </c>
      <c r="J96" s="68" t="s">
        <v>169</v>
      </c>
    </row>
    <row r="97" spans="4:12" ht="17.25" customHeight="1">
      <c r="D97" s="73" t="s">
        <v>143</v>
      </c>
      <c r="G97" s="67"/>
    </row>
    <row r="98" spans="4:12" ht="17.25" customHeight="1">
      <c r="D98" s="73" t="s">
        <v>141</v>
      </c>
    </row>
    <row r="99" spans="4:12" ht="17.25" customHeight="1"/>
    <row r="100" spans="4:12" ht="17.25" customHeight="1"/>
    <row r="101" spans="4:12" ht="17.25" customHeight="1">
      <c r="G101" s="12" t="s">
        <v>154</v>
      </c>
      <c r="H101" s="129" t="s">
        <v>204</v>
      </c>
      <c r="I101" s="129"/>
      <c r="J101" s="129"/>
      <c r="K101" s="129"/>
      <c r="L101" s="129"/>
    </row>
    <row r="102" spans="4:12" ht="17.25" customHeight="1">
      <c r="G102" s="72">
        <v>1</v>
      </c>
      <c r="H102" s="68" t="s">
        <v>205</v>
      </c>
      <c r="I102" s="130"/>
      <c r="J102" s="130"/>
      <c r="K102" s="130"/>
      <c r="L102" s="131"/>
    </row>
    <row r="103" spans="4:12" ht="17.25" customHeight="1">
      <c r="G103" s="72">
        <v>2</v>
      </c>
      <c r="H103" s="68" t="s">
        <v>206</v>
      </c>
      <c r="I103" s="130"/>
      <c r="J103" s="130"/>
      <c r="K103" s="130"/>
      <c r="L103" s="131"/>
    </row>
    <row r="104" spans="4:12" ht="17.25" customHeight="1">
      <c r="G104" s="72">
        <v>3</v>
      </c>
      <c r="H104" s="68" t="s">
        <v>207</v>
      </c>
      <c r="I104" s="130"/>
      <c r="J104" s="130"/>
      <c r="K104" s="130"/>
      <c r="L104" s="131"/>
    </row>
    <row r="105" spans="4:12" ht="17.25" customHeight="1">
      <c r="G105" s="72">
        <v>4</v>
      </c>
      <c r="H105" s="68" t="s">
        <v>208</v>
      </c>
      <c r="I105" s="130"/>
      <c r="J105" s="130"/>
      <c r="K105" s="130"/>
      <c r="L105" s="131"/>
    </row>
    <row r="106" spans="4:12" ht="17.25" customHeight="1"/>
    <row r="107" spans="4:12" ht="17.25" customHeight="1"/>
    <row r="108" spans="4:12" ht="17.25" customHeight="1"/>
    <row r="109" spans="4:12" ht="17.25" customHeight="1"/>
    <row r="110" spans="4:12" ht="17.25" customHeight="1"/>
    <row r="111" spans="4:12" ht="17.25" customHeight="1"/>
    <row r="112" spans="4: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spans="10:10" ht="17.25" customHeight="1"/>
    <row r="130" spans="10:10" ht="17.25" customHeight="1"/>
    <row r="131" spans="10:10" ht="17.25" customHeight="1"/>
    <row r="132" spans="10:10" ht="17.25" customHeight="1"/>
    <row r="133" spans="10:10" ht="17.25" customHeight="1"/>
    <row r="134" spans="10:10" ht="17.25" customHeight="1"/>
    <row r="135" spans="10:10" ht="17.25" customHeight="1"/>
    <row r="136" spans="10:10" ht="17.25" customHeight="1"/>
    <row r="137" spans="10:10" ht="17.25" customHeight="1"/>
    <row r="138" spans="10:10" ht="17.25" customHeight="1"/>
    <row r="139" spans="10:10" ht="17.25" customHeight="1"/>
    <row r="140" spans="10:10" ht="17.25" customHeight="1"/>
    <row r="141" spans="10:10" ht="17.25" customHeight="1"/>
    <row r="142" spans="10:10" ht="17.25" customHeight="1"/>
    <row r="143" spans="10:10" ht="17.25" customHeight="1">
      <c r="J143" s="75"/>
    </row>
    <row r="144" spans="10:10" ht="17.25" customHeight="1">
      <c r="J144" s="75"/>
    </row>
    <row r="145" spans="10:10" ht="17.25" customHeight="1">
      <c r="J145" s="75"/>
    </row>
    <row r="146" spans="10:10" ht="17.25" customHeight="1">
      <c r="J146" s="75"/>
    </row>
    <row r="147" spans="10:10" ht="17.25" customHeight="1"/>
    <row r="148" spans="10:10" ht="17.25" customHeight="1"/>
    <row r="149" spans="10:10" ht="17.25" customHeight="1"/>
    <row r="150" spans="10:10" ht="17.25" customHeight="1"/>
    <row r="151" spans="10:10" ht="17.25" customHeight="1"/>
    <row r="152" spans="10:10" ht="17.25" customHeight="1"/>
    <row r="153" spans="10:10" ht="17.25" customHeight="1"/>
    <row r="154" spans="10:10" ht="17.25" customHeight="1"/>
    <row r="155" spans="10:10" ht="17.25" customHeight="1"/>
    <row r="156" spans="10:10" ht="17.25" customHeight="1"/>
    <row r="157" spans="10:10" ht="17.25" customHeight="1"/>
    <row r="158" spans="10:10" ht="17.25" customHeight="1"/>
    <row r="159" spans="10:10" ht="17.25" customHeight="1"/>
    <row r="160" spans="10:1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sheetData>
  <customSheetViews>
    <customSheetView guid="{467270F0-7CE1-4C79-8222-3E2937E865F0}" showGridLines="0" hiddenColumns="1"/>
    <customSheetView guid="{983CA25C-E536-444F-9D93-83C18FA7D181}" showGridLines="0" hiddenColumns="1"/>
    <customSheetView guid="{C9A92CC2-07B1-4F3F-B8DB-13370D8D1DE6}" showGridLines="0" hiddenColumns="1"/>
  </customSheetViews>
  <conditionalFormatting sqref="D14">
    <cfRule type="cellIs" dxfId="10" priority="13" stopIfTrue="1" operator="equal">
      <formula>1</formula>
    </cfRule>
  </conditionalFormatting>
  <conditionalFormatting sqref="D15">
    <cfRule type="cellIs" dxfId="9" priority="12" stopIfTrue="1" operator="equal">
      <formula>1</formula>
    </cfRule>
  </conditionalFormatting>
  <conditionalFormatting sqref="D16">
    <cfRule type="cellIs" dxfId="8" priority="11" stopIfTrue="1" operator="equal">
      <formula>1</formula>
    </cfRule>
  </conditionalFormatting>
  <conditionalFormatting sqref="D17:D18">
    <cfRule type="cellIs" dxfId="7" priority="10" stopIfTrue="1" operator="equal">
      <formula>1</formula>
    </cfRule>
  </conditionalFormatting>
  <conditionalFormatting sqref="D22:D23">
    <cfRule type="cellIs" dxfId="6" priority="9" operator="notEqual">
      <formula>0</formula>
    </cfRule>
  </conditionalFormatting>
  <conditionalFormatting sqref="D25:D26">
    <cfRule type="cellIs" dxfId="5" priority="1" operator="notEqual">
      <formula>0</formula>
    </cfRule>
  </conditionalFormatting>
  <conditionalFormatting sqref="D28:D29">
    <cfRule type="cellIs" dxfId="4" priority="6" stopIfTrue="1" operator="equal">
      <formula>1</formula>
    </cfRule>
  </conditionalFormatting>
  <conditionalFormatting sqref="D35">
    <cfRule type="expression" dxfId="3" priority="5" stopIfTrue="1">
      <formula>D35=1</formula>
    </cfRule>
  </conditionalFormatting>
  <conditionalFormatting sqref="D43">
    <cfRule type="expression" dxfId="2" priority="3" stopIfTrue="1">
      <formula>F$6=1</formula>
    </cfRule>
    <cfRule type="expression" dxfId="1" priority="4" stopIfTrue="1">
      <formula>F$7=1</formula>
    </cfRule>
  </conditionalFormatting>
  <conditionalFormatting sqref="D90">
    <cfRule type="cellIs" dxfId="0" priority="8" stopIfTrue="1" operator="equal">
      <formula>Pf_unt_ja</formula>
    </cfRule>
  </conditionalFormatting>
  <dataValidations disablePrompts="1" count="4">
    <dataValidation type="list" allowBlank="1" showInputMessage="1" showErrorMessage="1" sqref="D32:D33" xr:uid="{00000000-0002-0000-1100-000000000000}">
      <formula1>"1,0"</formula1>
    </dataValidation>
    <dataValidation type="decimal" operator="lessThanOrEqual" allowBlank="1" showInputMessage="1" showErrorMessage="1" errorTitle="Eingabehinweis" error="Negative Werte eingeben !" sqref="F7" xr:uid="{00000000-0002-0000-1100-000001000000}">
      <formula1>0</formula1>
    </dataValidation>
    <dataValidation type="decimal" operator="lessThanOrEqual" allowBlank="1" showInputMessage="1" showErrorMessage="1" errorTitle="Achtung" error="Negative Werte eingeben !" sqref="F7" xr:uid="{00000000-0002-0000-1100-000002000000}">
      <formula1>0</formula1>
    </dataValidation>
    <dataValidation type="decimal" operator="greaterThanOrEqual" allowBlank="1" showInputMessage="1" showErrorMessage="1" errorTitle="Eingabehinweis" error="Positive Werte eingeben !" sqref="F6" xr:uid="{00000000-0002-0000-1100-000003000000}">
      <formula1>0</formula1>
    </dataValidation>
  </dataValidations>
  <hyperlinks>
    <hyperlink ref="F3" location="Blatt_Inhalt" display="Zum Inhaltsverzeichnis" xr:uid="{00000000-0004-0000-1100-000000000000}"/>
  </hyperlinks>
  <pageMargins left="0.51181102362204722" right="0.19685039370078741" top="0.59055118110236227" bottom="0.39370078740157483" header="0.31496062992125984" footer="0.31496062992125984"/>
  <pageSetup paperSize="9" scale="21" fitToWidth="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32</vt:i4>
      </vt:variant>
    </vt:vector>
  </HeadingPairs>
  <TitlesOfParts>
    <vt:vector size="39" baseType="lpstr">
      <vt:lpstr>Hinweis</vt:lpstr>
      <vt:lpstr>Annahmen</vt:lpstr>
      <vt:lpstr>Berechnungen</vt:lpstr>
      <vt:lpstr>Ergebnisse</vt:lpstr>
      <vt:lpstr>EFT Immobilien</vt:lpstr>
      <vt:lpstr>AFA-Rechner</vt:lpstr>
      <vt:lpstr>Formate</vt:lpstr>
      <vt:lpstr>Blatt_AfA_Steuern</vt:lpstr>
      <vt:lpstr>Blatt_Annahmen</vt:lpstr>
      <vt:lpstr>Blatt_Formate</vt:lpstr>
      <vt:lpstr>currency</vt:lpstr>
      <vt:lpstr>Darl_Art</vt:lpstr>
      <vt:lpstr>Annahmen!Druckbereich</vt:lpstr>
      <vt:lpstr>Hinweis!Druckbereich</vt:lpstr>
      <vt:lpstr>Annahmen!Drucktitel</vt:lpstr>
      <vt:lpstr>GanzkleineZahl</vt:lpstr>
      <vt:lpstr>Grdstuecksart</vt:lpstr>
      <vt:lpstr>Milliarde</vt:lpstr>
      <vt:lpstr>Million</vt:lpstr>
      <vt:lpstr>Monate</vt:lpstr>
      <vt:lpstr>Monate_Jahr</vt:lpstr>
      <vt:lpstr>Monate_Quartal</vt:lpstr>
      <vt:lpstr>Name_Autor</vt:lpstr>
      <vt:lpstr>Name_Datei</vt:lpstr>
      <vt:lpstr>Name_Projekt</vt:lpstr>
      <vt:lpstr>Periodizitaet</vt:lpstr>
      <vt:lpstr>Pf_hor_ja</vt:lpstr>
      <vt:lpstr>Pf_hor_nein</vt:lpstr>
      <vt:lpstr>Pf_li</vt:lpstr>
      <vt:lpstr>Pf_re</vt:lpstr>
      <vt:lpstr>Pf_unt_ja</vt:lpstr>
      <vt:lpstr>Pf_unt_nein</vt:lpstr>
      <vt:lpstr>Quartale_Jahr</vt:lpstr>
      <vt:lpstr>Rückzahlungsmethode</vt:lpstr>
      <vt:lpstr>Rund_Tol</vt:lpstr>
      <vt:lpstr>Sonder_AfA_an</vt:lpstr>
      <vt:lpstr>status</vt:lpstr>
      <vt:lpstr>Tage_Jahr</vt:lpstr>
      <vt:lpstr>Tausend</vt:lpstr>
    </vt:vector>
  </TitlesOfParts>
  <Company>https://fimovi.de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Mit Neubau-Immobilien Steuern sparen</dc:title>
  <dc:subject>Systematisch Vermögen aufbauen</dc:subject>
  <dc:creator>Fimovi GmbH</dc:creator>
  <dc:description>https://fimovi.de/</dc:description>
  <cp:lastModifiedBy>www.fimovi.de</cp:lastModifiedBy>
  <cp:lastPrinted>2020-11-19T15:13:06Z</cp:lastPrinted>
  <dcterms:created xsi:type="dcterms:W3CDTF">2013-02-07T14:13:17Z</dcterms:created>
  <dcterms:modified xsi:type="dcterms:W3CDTF">2026-01-23T10:27:27Z</dcterms:modified>
  <cp:category>Blogbeitrag</cp:category>
</cp:coreProperties>
</file>